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етрова Надежда\БЮДЖЕТ 2021\ПФХД\155\для учреждения\"/>
    </mc:Choice>
  </mc:AlternateContent>
  <bookViews>
    <workbookView xWindow="645" yWindow="-150" windowWidth="13995" windowHeight="11430" tabRatio="896" activeTab="1"/>
  </bookViews>
  <sheets>
    <sheet name="Титульный лист" sheetId="7" r:id="rId1"/>
    <sheet name="Форма" sheetId="2" r:id="rId2"/>
    <sheet name="Утверждено (МЗ,ОП,ИЦ,КАП)" sheetId="3" state="hidden" r:id="rId3"/>
    <sheet name="Утверждено (ПДД)" sheetId="4" state="hidden" r:id="rId4"/>
    <sheet name="Закупки" sheetId="5" state="hidden" r:id="rId5"/>
    <sheet name="информ." sheetId="10" state="hidden" r:id="rId6"/>
    <sheet name="допсоглашение 4" sheetId="13" state="hidden" r:id="rId7"/>
    <sheet name="доп.соглашение 5" sheetId="12" state="hidden" r:id="rId8"/>
    <sheet name="тит.лист без даты" sheetId="11" state="hidden" r:id="rId9"/>
  </sheets>
  <externalReferences>
    <externalReference r:id="rId10"/>
  </externalReferences>
  <definedNames>
    <definedName name="_xlnm._FilterDatabase" localSheetId="2" hidden="1">'Утверждено (МЗ,ОП,ИЦ,КАП)'!$A$4:$P$191</definedName>
    <definedName name="_xlnm._FilterDatabase" localSheetId="3" hidden="1">'Утверждено (ПДД)'!$A$6:$J$6</definedName>
    <definedName name="_xlnm.Print_Titles" localSheetId="2">'Утверждено (МЗ,ОП,ИЦ,КАП)'!$A:$E,'Утверждено (МЗ,ОП,ИЦ,КАП)'!$2:$4</definedName>
    <definedName name="_xlnm.Print_Titles" localSheetId="3">'Утверждено (ПДД)'!$A:$C,'Утверждено (ПДД)'!$4:$5</definedName>
    <definedName name="_xlnm.Print_Area" localSheetId="7">'доп.соглашение 5'!$A$1:$H$35</definedName>
    <definedName name="_xlnm.Print_Area" localSheetId="6">'допсоглашение 4'!$A$1:$H$36</definedName>
    <definedName name="_xlnm.Print_Area" localSheetId="4">Закупки!$A$1:$W$22</definedName>
    <definedName name="_xlnm.Print_Area" localSheetId="8">'тит.лист без даты'!$A$1:$I$46</definedName>
    <definedName name="_xlnm.Print_Area" localSheetId="0">'Титульный лист'!$A$1:$I$46</definedName>
    <definedName name="_xlnm.Print_Area" localSheetId="2">'Утверждено (МЗ,ОП,ИЦ,КАП)'!$A$1:$N$191</definedName>
    <definedName name="_xlnm.Print_Area" localSheetId="3">'Утверждено (ПДД)'!$A$3:$F$239</definedName>
    <definedName name="_xlnm.Print_Area" localSheetId="1">Форма!$A$52:$I$218</definedName>
  </definedNames>
  <calcPr calcId="162913"/>
</workbook>
</file>

<file path=xl/calcChain.xml><?xml version="1.0" encoding="utf-8"?>
<calcChain xmlns="http://schemas.openxmlformats.org/spreadsheetml/2006/main">
  <c r="I20" i="3" l="1"/>
  <c r="I55" i="3" l="1"/>
  <c r="T15" i="5" l="1"/>
  <c r="S15" i="5"/>
  <c r="T14" i="5"/>
  <c r="S14" i="5"/>
  <c r="R14" i="5"/>
  <c r="T13" i="5"/>
  <c r="S13" i="5"/>
  <c r="R13" i="5"/>
  <c r="T11" i="5"/>
  <c r="S11" i="5"/>
  <c r="R11" i="5"/>
  <c r="R7" i="5"/>
  <c r="S7" i="5"/>
  <c r="T7" i="5"/>
  <c r="R8" i="5"/>
  <c r="S8" i="5"/>
  <c r="T8" i="5"/>
  <c r="R9" i="5"/>
  <c r="S9" i="5"/>
  <c r="T9" i="5"/>
  <c r="E15" i="5"/>
  <c r="D15" i="5"/>
  <c r="E14" i="5"/>
  <c r="D14" i="5"/>
  <c r="E13" i="5"/>
  <c r="D13" i="5"/>
  <c r="C14" i="5"/>
  <c r="C13" i="5"/>
  <c r="B15" i="5"/>
  <c r="B14" i="5"/>
  <c r="G156" i="2" l="1"/>
  <c r="H156" i="2"/>
  <c r="G157" i="2"/>
  <c r="H157" i="2"/>
  <c r="G158" i="2"/>
  <c r="H158" i="2"/>
  <c r="F158" i="2"/>
  <c r="F157" i="2"/>
  <c r="F156" i="2"/>
  <c r="K132" i="3"/>
  <c r="J132" i="3"/>
  <c r="H185" i="3"/>
  <c r="G185" i="3"/>
  <c r="F185" i="3"/>
  <c r="H184" i="3"/>
  <c r="G184" i="3"/>
  <c r="F184" i="3"/>
  <c r="H183" i="3"/>
  <c r="G183" i="3"/>
  <c r="F183" i="3"/>
  <c r="K182" i="3"/>
  <c r="H182" i="3" s="1"/>
  <c r="J182" i="3"/>
  <c r="G182" i="3" s="1"/>
  <c r="I182" i="3"/>
  <c r="I181" i="3" s="1"/>
  <c r="C15" i="5" s="1"/>
  <c r="R15" i="5" s="1"/>
  <c r="K181" i="3"/>
  <c r="J181" i="3"/>
  <c r="H180" i="3"/>
  <c r="G180" i="3"/>
  <c r="F180" i="3"/>
  <c r="H179" i="3"/>
  <c r="G179" i="3"/>
  <c r="F179" i="3"/>
  <c r="H178" i="3"/>
  <c r="G178" i="3"/>
  <c r="F178" i="3"/>
  <c r="K177" i="3"/>
  <c r="H177" i="3" s="1"/>
  <c r="J177" i="3"/>
  <c r="G177" i="3" s="1"/>
  <c r="I177" i="3"/>
  <c r="I176" i="3" s="1"/>
  <c r="K176" i="3"/>
  <c r="J176" i="3"/>
  <c r="I132" i="3" l="1"/>
  <c r="F177" i="3"/>
  <c r="F182" i="3"/>
  <c r="G5" i="13"/>
  <c r="E8" i="13"/>
  <c r="D8" i="13"/>
  <c r="D372" i="4" l="1"/>
  <c r="I28" i="3"/>
  <c r="G152" i="2" l="1"/>
  <c r="H152" i="2"/>
  <c r="F152" i="2"/>
  <c r="F62" i="4"/>
  <c r="E62" i="4"/>
  <c r="D62" i="4"/>
  <c r="D58" i="4" s="1"/>
  <c r="E58" i="4"/>
  <c r="F58" i="4"/>
  <c r="E290" i="4"/>
  <c r="F290" i="4"/>
  <c r="D290" i="4"/>
  <c r="E214" i="4"/>
  <c r="F214" i="4"/>
  <c r="D214" i="4"/>
  <c r="E139" i="4"/>
  <c r="F139" i="4"/>
  <c r="D139" i="4"/>
  <c r="G148" i="2"/>
  <c r="H148" i="2"/>
  <c r="J17" i="3"/>
  <c r="K17" i="3"/>
  <c r="I17" i="3"/>
  <c r="I18" i="3"/>
  <c r="O3" i="10" l="1"/>
  <c r="N3" i="10"/>
  <c r="M3" i="10"/>
  <c r="D185" i="4" l="1"/>
  <c r="D177" i="4"/>
  <c r="D176" i="4"/>
  <c r="D162" i="4"/>
  <c r="D142" i="4"/>
  <c r="D141" i="4"/>
  <c r="D140" i="4"/>
  <c r="D42" i="4"/>
  <c r="D20" i="4"/>
  <c r="G94" i="2" l="1"/>
  <c r="H94" i="2"/>
  <c r="F94" i="2"/>
  <c r="G83" i="2"/>
  <c r="H83" i="2"/>
  <c r="F83" i="2"/>
  <c r="H174" i="3"/>
  <c r="G174" i="3"/>
  <c r="F174" i="3"/>
  <c r="H173" i="3"/>
  <c r="G173" i="3"/>
  <c r="F173" i="3"/>
  <c r="K172" i="3"/>
  <c r="H172" i="3" s="1"/>
  <c r="J172" i="3"/>
  <c r="I172" i="3"/>
  <c r="G172" i="3"/>
  <c r="F172" i="3"/>
  <c r="N171" i="3"/>
  <c r="H171" i="3" s="1"/>
  <c r="M171" i="3"/>
  <c r="G171" i="3" s="1"/>
  <c r="L171" i="3"/>
  <c r="F171" i="3"/>
  <c r="H170" i="3"/>
  <c r="G170" i="3"/>
  <c r="F170" i="3"/>
  <c r="H169" i="3"/>
  <c r="G169" i="3"/>
  <c r="F169" i="3"/>
  <c r="K168" i="3"/>
  <c r="H168" i="3" s="1"/>
  <c r="J168" i="3"/>
  <c r="G168" i="3" s="1"/>
  <c r="I168" i="3"/>
  <c r="I147" i="3" s="1"/>
  <c r="F168" i="3"/>
  <c r="N167" i="3"/>
  <c r="M167" i="3"/>
  <c r="L167" i="3"/>
  <c r="F167" i="3" s="1"/>
  <c r="H167" i="3"/>
  <c r="G167" i="3"/>
  <c r="H166" i="3"/>
  <c r="G166" i="3"/>
  <c r="F166" i="3"/>
  <c r="H165" i="3"/>
  <c r="G165" i="3"/>
  <c r="F165" i="3"/>
  <c r="K164" i="3"/>
  <c r="J164" i="3"/>
  <c r="I164" i="3"/>
  <c r="F164" i="3" s="1"/>
  <c r="H164" i="3"/>
  <c r="G164" i="3"/>
  <c r="H163" i="3"/>
  <c r="G163" i="3"/>
  <c r="F163" i="3"/>
  <c r="H162" i="3"/>
  <c r="G162" i="3"/>
  <c r="F162" i="3"/>
  <c r="H161" i="3"/>
  <c r="G161" i="3"/>
  <c r="F161" i="3"/>
  <c r="K160" i="3"/>
  <c r="H160" i="3" s="1"/>
  <c r="J160" i="3"/>
  <c r="I160" i="3"/>
  <c r="G160" i="3"/>
  <c r="F160" i="3"/>
  <c r="H159" i="3"/>
  <c r="G159" i="3"/>
  <c r="F159" i="3"/>
  <c r="H158" i="3"/>
  <c r="G158" i="3"/>
  <c r="F158" i="3"/>
  <c r="H157" i="3"/>
  <c r="G157" i="3"/>
  <c r="F157" i="3"/>
  <c r="K156" i="3"/>
  <c r="H156" i="3" s="1"/>
  <c r="J156" i="3"/>
  <c r="J147" i="3" s="1"/>
  <c r="I156" i="3"/>
  <c r="F156" i="3"/>
  <c r="H155" i="3"/>
  <c r="G155" i="3"/>
  <c r="F155" i="3"/>
  <c r="H154" i="3"/>
  <c r="G154" i="3"/>
  <c r="F154" i="3"/>
  <c r="H153" i="3"/>
  <c r="G153" i="3"/>
  <c r="F153" i="3"/>
  <c r="K152" i="3"/>
  <c r="J152" i="3"/>
  <c r="G152" i="3" s="1"/>
  <c r="I152" i="3"/>
  <c r="F152" i="3" s="1"/>
  <c r="H152" i="3"/>
  <c r="H151" i="3"/>
  <c r="G151" i="3"/>
  <c r="F151" i="3"/>
  <c r="H150" i="3"/>
  <c r="G150" i="3"/>
  <c r="F150" i="3"/>
  <c r="H149" i="3"/>
  <c r="G149" i="3"/>
  <c r="F149" i="3"/>
  <c r="K148" i="3"/>
  <c r="J148" i="3"/>
  <c r="I148" i="3"/>
  <c r="F148" i="3" s="1"/>
  <c r="F147" i="3" s="1"/>
  <c r="H148" i="3"/>
  <c r="G148" i="3"/>
  <c r="N147" i="3"/>
  <c r="M147" i="3"/>
  <c r="L147" i="3"/>
  <c r="K147" i="3" l="1"/>
  <c r="H147" i="3"/>
  <c r="G156" i="3"/>
  <c r="G147" i="3" s="1"/>
  <c r="G20" i="7" l="1"/>
  <c r="D209" i="2" l="1"/>
  <c r="D208" i="2"/>
  <c r="D207" i="2"/>
  <c r="G165" i="2" l="1"/>
  <c r="H165" i="2"/>
  <c r="F165" i="2"/>
  <c r="I164" i="2"/>
  <c r="F61" i="4"/>
  <c r="E61" i="4"/>
  <c r="D61" i="4"/>
  <c r="F60" i="4"/>
  <c r="E60" i="4"/>
  <c r="G166" i="2" s="1"/>
  <c r="D60" i="4"/>
  <c r="F59" i="4"/>
  <c r="E59" i="4"/>
  <c r="D59" i="4"/>
  <c r="F20" i="3"/>
  <c r="F19" i="3"/>
  <c r="H18" i="3"/>
  <c r="G18" i="3"/>
  <c r="F18" i="3"/>
  <c r="K6" i="3"/>
  <c r="G17" i="3"/>
  <c r="H166" i="2" l="1"/>
  <c r="H164" i="2" s="1"/>
  <c r="F166" i="2"/>
  <c r="F164" i="2" s="1"/>
  <c r="G164" i="2"/>
  <c r="H17" i="3"/>
  <c r="F17" i="3"/>
  <c r="J6" i="3"/>
  <c r="B3" i="5"/>
  <c r="B9" i="5"/>
  <c r="H3" i="10" l="1"/>
  <c r="B3" i="10"/>
  <c r="F381" i="4" l="1"/>
  <c r="E381" i="4"/>
  <c r="F225" i="4"/>
  <c r="E225" i="4"/>
  <c r="F23" i="4"/>
  <c r="E23" i="4"/>
  <c r="D225" i="4"/>
  <c r="D23" i="4"/>
  <c r="K14" i="3"/>
  <c r="J14" i="3"/>
  <c r="I14" i="3" l="1"/>
  <c r="K15" i="3"/>
  <c r="J9" i="5" l="1"/>
  <c r="I9" i="5"/>
  <c r="H7" i="10"/>
  <c r="H10" i="10"/>
  <c r="E30" i="10"/>
  <c r="E37" i="10" s="1"/>
  <c r="E17" i="10"/>
  <c r="E24" i="10" s="1"/>
  <c r="E4" i="10"/>
  <c r="E11" i="10" s="1"/>
  <c r="H30" i="10" l="1"/>
  <c r="G30" i="10"/>
  <c r="F30" i="10"/>
  <c r="D30" i="10"/>
  <c r="C30" i="10"/>
  <c r="B30" i="10"/>
  <c r="I34" i="10"/>
  <c r="H17" i="10"/>
  <c r="G17" i="10"/>
  <c r="F17" i="10"/>
  <c r="D17" i="10"/>
  <c r="C17" i="10"/>
  <c r="B17" i="10"/>
  <c r="I21" i="10"/>
  <c r="H4" i="10"/>
  <c r="G4" i="10"/>
  <c r="F4" i="10"/>
  <c r="D4" i="10"/>
  <c r="C4" i="10"/>
  <c r="B4" i="10"/>
  <c r="I8" i="10"/>
  <c r="I17" i="10" l="1"/>
  <c r="I30" i="10"/>
  <c r="I4" i="10"/>
  <c r="E9" i="5"/>
  <c r="D9" i="5"/>
  <c r="C9" i="5"/>
  <c r="E7" i="5"/>
  <c r="D7" i="5"/>
  <c r="C7" i="5"/>
  <c r="H69" i="3"/>
  <c r="G69" i="3"/>
  <c r="F69" i="3"/>
  <c r="H68" i="3"/>
  <c r="G68" i="3"/>
  <c r="F68" i="3"/>
  <c r="N67" i="3"/>
  <c r="M67" i="3"/>
  <c r="L67" i="3"/>
  <c r="K67" i="3"/>
  <c r="J67" i="3"/>
  <c r="G67" i="3" s="1"/>
  <c r="I67" i="3"/>
  <c r="F67" i="3" s="1"/>
  <c r="H67" i="3"/>
  <c r="N63" i="3"/>
  <c r="M63" i="3"/>
  <c r="L63" i="3"/>
  <c r="K63" i="3"/>
  <c r="J63" i="3"/>
  <c r="I63" i="3"/>
  <c r="H66" i="3"/>
  <c r="G66" i="3"/>
  <c r="F66" i="3"/>
  <c r="G11" i="7" l="1"/>
  <c r="H76" i="2" l="1"/>
  <c r="G76" i="2"/>
  <c r="H144" i="3" l="1"/>
  <c r="G144" i="3"/>
  <c r="F144" i="3"/>
  <c r="P6" i="5" l="1"/>
  <c r="I38" i="10" l="1"/>
  <c r="I36" i="10"/>
  <c r="I35" i="10"/>
  <c r="I33" i="10"/>
  <c r="I32" i="10"/>
  <c r="I31" i="10"/>
  <c r="H37" i="10"/>
  <c r="G37" i="10"/>
  <c r="F37" i="10"/>
  <c r="D37" i="10"/>
  <c r="C37" i="10"/>
  <c r="B37" i="10"/>
  <c r="I29" i="10"/>
  <c r="I37" i="10" l="1"/>
  <c r="G203" i="2" l="1"/>
  <c r="H204" i="2" s="1"/>
  <c r="A16" i="12" l="1"/>
  <c r="F389" i="4" l="1"/>
  <c r="E389" i="4"/>
  <c r="D389" i="4"/>
  <c r="F144" i="2"/>
  <c r="F143" i="2" s="1"/>
  <c r="H143" i="2"/>
  <c r="G143" i="2"/>
  <c r="F69" i="2"/>
  <c r="F100" i="4" l="1"/>
  <c r="E100" i="4"/>
  <c r="D100" i="4"/>
  <c r="F65" i="4"/>
  <c r="E65" i="4"/>
  <c r="D65" i="4"/>
  <c r="E56" i="4"/>
  <c r="D56" i="4"/>
  <c r="F82" i="4"/>
  <c r="E82" i="4"/>
  <c r="D82" i="4"/>
  <c r="F362" i="4"/>
  <c r="E362" i="4"/>
  <c r="D362" i="4"/>
  <c r="A14" i="12" l="1"/>
  <c r="A12" i="12"/>
  <c r="E8" i="12"/>
  <c r="D8" i="12"/>
  <c r="I11" i="12" l="1"/>
  <c r="D32" i="11"/>
  <c r="G11" i="11"/>
  <c r="F374" i="4" l="1"/>
  <c r="E374" i="4"/>
  <c r="E118" i="4" s="1"/>
  <c r="D374" i="4"/>
  <c r="D118" i="4" s="1"/>
  <c r="E371" i="4"/>
  <c r="E124" i="4" s="1"/>
  <c r="D371" i="4"/>
  <c r="D124" i="4" s="1"/>
  <c r="J116" i="3" l="1"/>
  <c r="J15" i="3"/>
  <c r="J112" i="3" l="1"/>
  <c r="D11" i="5"/>
  <c r="P22" i="5"/>
  <c r="F371" i="4" l="1"/>
  <c r="F124" i="4" s="1"/>
  <c r="F56" i="4"/>
  <c r="F118" i="4"/>
  <c r="I66" i="2" l="1"/>
  <c r="K23" i="5" l="1"/>
  <c r="K22" i="5"/>
  <c r="K5" i="5" s="1"/>
  <c r="H23" i="5"/>
  <c r="G23" i="5"/>
  <c r="F23" i="5"/>
  <c r="H8" i="5"/>
  <c r="G8" i="5"/>
  <c r="G5" i="5" s="1"/>
  <c r="F8" i="5"/>
  <c r="F5" i="5" s="1"/>
  <c r="D8" i="5"/>
  <c r="C8" i="5"/>
  <c r="B22" i="5"/>
  <c r="B13" i="5"/>
  <c r="B11" i="5"/>
  <c r="B8" i="5"/>
  <c r="B7" i="5"/>
  <c r="B6" i="5"/>
  <c r="W23" i="5"/>
  <c r="V23" i="5"/>
  <c r="U23" i="5"/>
  <c r="U24" i="5" s="1"/>
  <c r="N23" i="5"/>
  <c r="M23" i="5"/>
  <c r="L23" i="5"/>
  <c r="W5" i="5"/>
  <c r="V5" i="5"/>
  <c r="U5" i="5"/>
  <c r="N5" i="5"/>
  <c r="M5" i="5"/>
  <c r="L5" i="5"/>
  <c r="H5" i="5"/>
  <c r="L24" i="5" l="1"/>
  <c r="V24" i="5"/>
  <c r="M24" i="5"/>
  <c r="W24" i="5"/>
  <c r="N24" i="5"/>
  <c r="K24" i="5"/>
  <c r="H24" i="5"/>
  <c r="G24" i="5"/>
  <c r="F24" i="5"/>
  <c r="I23" i="10" l="1"/>
  <c r="I22" i="10"/>
  <c r="I20" i="10"/>
  <c r="I19" i="10"/>
  <c r="H24" i="10"/>
  <c r="J22" i="5" s="1"/>
  <c r="F24" i="10"/>
  <c r="J11" i="5" s="1"/>
  <c r="C24" i="10"/>
  <c r="J8" i="5" s="1"/>
  <c r="I18" i="10"/>
  <c r="G24" i="10"/>
  <c r="J13" i="5" s="1"/>
  <c r="D24" i="10"/>
  <c r="J7" i="5" s="1"/>
  <c r="B24" i="10"/>
  <c r="I16" i="10"/>
  <c r="B12" i="10"/>
  <c r="I10" i="10"/>
  <c r="I9" i="10"/>
  <c r="I7" i="10"/>
  <c r="I6" i="10"/>
  <c r="I5" i="10"/>
  <c r="H11" i="10"/>
  <c r="G11" i="10"/>
  <c r="I13" i="5" s="1"/>
  <c r="F11" i="10"/>
  <c r="I11" i="5" s="1"/>
  <c r="D11" i="10"/>
  <c r="I7" i="5" s="1"/>
  <c r="C11" i="10"/>
  <c r="I8" i="5" s="1"/>
  <c r="S3" i="10"/>
  <c r="H12" i="10"/>
  <c r="O22" i="5" s="1"/>
  <c r="I3" i="10"/>
  <c r="B11" i="10"/>
  <c r="L11" i="10" l="1"/>
  <c r="I22" i="5"/>
  <c r="N11" i="10"/>
  <c r="I25" i="10"/>
  <c r="O6" i="5"/>
  <c r="Q6" i="5" s="1"/>
  <c r="I6" i="5"/>
  <c r="I5" i="5" s="1"/>
  <c r="I24" i="10"/>
  <c r="J6" i="5"/>
  <c r="I11" i="10"/>
  <c r="I12" i="10"/>
  <c r="J203" i="2" l="1"/>
  <c r="K203" i="2" s="1"/>
  <c r="K37" i="10"/>
  <c r="O5" i="5"/>
  <c r="Q22" i="5"/>
  <c r="Q5" i="5" s="1"/>
  <c r="P5" i="5"/>
  <c r="J5" i="5"/>
  <c r="L203" i="2" l="1"/>
  <c r="L37" i="10"/>
  <c r="M37" i="10" s="1"/>
  <c r="E32" i="4"/>
  <c r="F32" i="4"/>
  <c r="E8" i="5" l="1"/>
  <c r="AM269" i="2" l="1"/>
  <c r="V269" i="2"/>
  <c r="G185" i="2"/>
  <c r="J23" i="5" s="1"/>
  <c r="J24" i="5" s="1"/>
  <c r="F185" i="2"/>
  <c r="I23" i="5" s="1"/>
  <c r="I24" i="5" s="1"/>
  <c r="G183" i="2"/>
  <c r="F183" i="2"/>
  <c r="O23" i="5" s="1"/>
  <c r="O24" i="5" s="1"/>
  <c r="H183" i="2" l="1"/>
  <c r="Q23" i="5" s="1"/>
  <c r="Q24" i="5" s="1"/>
  <c r="P23" i="5"/>
  <c r="P24" i="5" s="1"/>
  <c r="AQ307" i="2" l="1"/>
  <c r="AM307" i="2"/>
  <c r="AI307" i="2"/>
  <c r="AA307" i="2"/>
  <c r="O307" i="2" s="1"/>
  <c r="W307" i="2"/>
  <c r="AQ306" i="2"/>
  <c r="AM306" i="2"/>
  <c r="AI306" i="2"/>
  <c r="W306" i="2"/>
  <c r="AQ305" i="2"/>
  <c r="AM305" i="2"/>
  <c r="AI305" i="2"/>
  <c r="AE305" i="2"/>
  <c r="AQ302" i="2"/>
  <c r="AM302" i="2"/>
  <c r="AI302" i="2"/>
  <c r="AE302" i="2"/>
  <c r="Q288" i="2"/>
  <c r="Q287" i="2"/>
  <c r="Q286" i="2"/>
  <c r="AQ285" i="2"/>
  <c r="AM285" i="2"/>
  <c r="AI285" i="2"/>
  <c r="AE285" i="2"/>
  <c r="AA285" i="2"/>
  <c r="V285" i="2"/>
  <c r="Q284" i="2"/>
  <c r="Q283" i="2"/>
  <c r="Q282" i="2"/>
  <c r="AQ281" i="2"/>
  <c r="AM281" i="2"/>
  <c r="AI281" i="2"/>
  <c r="AE281" i="2"/>
  <c r="Q281" i="2" s="1"/>
  <c r="AA281" i="2"/>
  <c r="V281" i="2"/>
  <c r="Q280" i="2"/>
  <c r="AE279" i="2"/>
  <c r="Q279" i="2" s="1"/>
  <c r="AQ278" i="2"/>
  <c r="AM278" i="2"/>
  <c r="AI278" i="2"/>
  <c r="AA278" i="2"/>
  <c r="V278" i="2"/>
  <c r="Q277" i="2"/>
  <c r="AM276" i="2"/>
  <c r="AM275" i="2" s="1"/>
  <c r="V276" i="2"/>
  <c r="Q276" i="2" s="1"/>
  <c r="AQ275" i="2"/>
  <c r="AI275" i="2"/>
  <c r="AE275" i="2"/>
  <c r="AA275" i="2"/>
  <c r="AA273" i="2"/>
  <c r="Q273" i="2" s="1"/>
  <c r="AM271" i="2"/>
  <c r="AA271" i="2"/>
  <c r="V271" i="2"/>
  <c r="AQ270" i="2"/>
  <c r="AI270" i="2"/>
  <c r="AE270" i="2"/>
  <c r="Q269" i="2"/>
  <c r="AU269" i="2" s="1"/>
  <c r="Q266" i="2"/>
  <c r="AM265" i="2"/>
  <c r="AQ264" i="2"/>
  <c r="AI264" i="2"/>
  <c r="AE264" i="2"/>
  <c r="AA264" i="2"/>
  <c r="Q263" i="2"/>
  <c r="AA262" i="2"/>
  <c r="Q262" i="2" s="1"/>
  <c r="AA261" i="2"/>
  <c r="Q261" i="2" s="1"/>
  <c r="Q260" i="2"/>
  <c r="AM259" i="2"/>
  <c r="AM258" i="2" s="1"/>
  <c r="V259" i="2"/>
  <c r="AQ258" i="2"/>
  <c r="AI258" i="2"/>
  <c r="AE258" i="2"/>
  <c r="Q256" i="2"/>
  <c r="Q254" i="2"/>
  <c r="AA253" i="2"/>
  <c r="AA251" i="2" s="1"/>
  <c r="AA249" i="2" s="1"/>
  <c r="Q252" i="2"/>
  <c r="AQ251" i="2"/>
  <c r="AQ249" i="2" s="1"/>
  <c r="AI251" i="2"/>
  <c r="AI249" i="2" s="1"/>
  <c r="AE251" i="2"/>
  <c r="AE249" i="2" s="1"/>
  <c r="AE248" i="2" s="1"/>
  <c r="Q250" i="2"/>
  <c r="AM247" i="2"/>
  <c r="Q247" i="2" s="1"/>
  <c r="AM245" i="2"/>
  <c r="AM244" i="2" s="1"/>
  <c r="AE242" i="2"/>
  <c r="AM240" i="2"/>
  <c r="Q240" i="2" s="1"/>
  <c r="AM237" i="2"/>
  <c r="Q237" i="2" s="1"/>
  <c r="AQ236" i="2"/>
  <c r="AI236" i="2"/>
  <c r="AE236" i="2"/>
  <c r="S305" i="2" l="1"/>
  <c r="AI248" i="2"/>
  <c r="Q259" i="2"/>
  <c r="AI290" i="2"/>
  <c r="AQ248" i="2"/>
  <c r="Q271" i="2"/>
  <c r="AI304" i="2"/>
  <c r="AI301" i="2" s="1"/>
  <c r="K306" i="2"/>
  <c r="K307" i="2"/>
  <c r="AE290" i="2"/>
  <c r="Q245" i="2"/>
  <c r="Q285" i="2"/>
  <c r="AQ304" i="2"/>
  <c r="AQ301" i="2" s="1"/>
  <c r="AM304" i="2"/>
  <c r="AM301" i="2" s="1"/>
  <c r="AQ290" i="2"/>
  <c r="Q244" i="2"/>
  <c r="V275" i="2"/>
  <c r="Q275" i="2" s="1"/>
  <c r="S302" i="2"/>
  <c r="AA258" i="2"/>
  <c r="AE278" i="2"/>
  <c r="Q278" i="2" s="1"/>
  <c r="V258" i="2"/>
  <c r="Q258" i="2" l="1"/>
  <c r="G10" i="2" l="1"/>
  <c r="AA302" i="2" l="1"/>
  <c r="O302" i="2" s="1"/>
  <c r="W302" i="2"/>
  <c r="K302" i="2" s="1"/>
  <c r="G184" i="2" l="1"/>
  <c r="D183" i="4"/>
  <c r="D131" i="4"/>
  <c r="F81" i="2"/>
  <c r="F102" i="4"/>
  <c r="D381" i="4"/>
  <c r="E102" i="4"/>
  <c r="D102" i="4"/>
  <c r="E183" i="4"/>
  <c r="F183" i="4"/>
  <c r="AA305" i="2" l="1"/>
  <c r="O305" i="2" s="1"/>
  <c r="AE306" i="2"/>
  <c r="S306" i="2" s="1"/>
  <c r="V253" i="2"/>
  <c r="I137" i="3" l="1"/>
  <c r="J23" i="3"/>
  <c r="I23" i="3" l="1"/>
  <c r="E81" i="4" l="1"/>
  <c r="F81" i="4"/>
  <c r="G117" i="2" l="1"/>
  <c r="H117" i="2"/>
  <c r="F117" i="2"/>
  <c r="D387" i="4"/>
  <c r="D382" i="4"/>
  <c r="D99" i="4"/>
  <c r="E382" i="4"/>
  <c r="F382" i="4"/>
  <c r="E378" i="4"/>
  <c r="D378" i="4"/>
  <c r="E349" i="4"/>
  <c r="F349" i="4"/>
  <c r="D349" i="4"/>
  <c r="E334" i="4"/>
  <c r="F334" i="4"/>
  <c r="D334" i="4"/>
  <c r="D312" i="4"/>
  <c r="D296" i="4"/>
  <c r="E274" i="4"/>
  <c r="F274" i="4"/>
  <c r="D274" i="4"/>
  <c r="E259" i="4"/>
  <c r="F259" i="4"/>
  <c r="D259" i="4"/>
  <c r="F130" i="4"/>
  <c r="D130" i="4"/>
  <c r="D129" i="4"/>
  <c r="D128" i="4"/>
  <c r="E110" i="4"/>
  <c r="F110" i="4"/>
  <c r="D110" i="4"/>
  <c r="F106" i="4"/>
  <c r="E236" i="4"/>
  <c r="F236" i="4"/>
  <c r="D236" i="4"/>
  <c r="E77" i="4"/>
  <c r="D77" i="4"/>
  <c r="D76" i="4"/>
  <c r="E75" i="4"/>
  <c r="F220" i="4"/>
  <c r="F211" i="4" s="1"/>
  <c r="D75" i="4"/>
  <c r="F74" i="4"/>
  <c r="D74" i="4"/>
  <c r="E79" i="4"/>
  <c r="F79" i="4"/>
  <c r="D79" i="4"/>
  <c r="F145" i="4"/>
  <c r="E145" i="4"/>
  <c r="E132" i="4" s="1"/>
  <c r="D145" i="4"/>
  <c r="E198" i="4"/>
  <c r="F198" i="4"/>
  <c r="D198" i="4"/>
  <c r="E122" i="4"/>
  <c r="E161" i="4"/>
  <c r="D96" i="4"/>
  <c r="E55" i="4"/>
  <c r="G93" i="2" s="1"/>
  <c r="D55" i="4"/>
  <c r="F93" i="2" s="1"/>
  <c r="D52" i="4"/>
  <c r="E121" i="4"/>
  <c r="F121" i="4"/>
  <c r="E99" i="4"/>
  <c r="F99" i="4"/>
  <c r="F122" i="4"/>
  <c r="F123" i="4"/>
  <c r="F125" i="4"/>
  <c r="F126" i="4"/>
  <c r="F127" i="4"/>
  <c r="F128" i="4"/>
  <c r="F129" i="4"/>
  <c r="F131" i="4"/>
  <c r="E123" i="4"/>
  <c r="E125" i="4"/>
  <c r="E126" i="4"/>
  <c r="E127" i="4"/>
  <c r="E128" i="4"/>
  <c r="E129" i="4"/>
  <c r="E130" i="4"/>
  <c r="E131" i="4"/>
  <c r="D123" i="4"/>
  <c r="D125" i="4"/>
  <c r="D126" i="4"/>
  <c r="D127" i="4"/>
  <c r="F107" i="4"/>
  <c r="F108" i="4"/>
  <c r="F109" i="4"/>
  <c r="F111" i="4"/>
  <c r="F112" i="4"/>
  <c r="F113" i="4"/>
  <c r="F114" i="4"/>
  <c r="F115" i="4"/>
  <c r="F116" i="4"/>
  <c r="F117" i="4"/>
  <c r="E107" i="4"/>
  <c r="E108" i="4"/>
  <c r="E109" i="4"/>
  <c r="E111" i="4"/>
  <c r="E112" i="4"/>
  <c r="E113" i="4"/>
  <c r="E114" i="4"/>
  <c r="E115" i="4"/>
  <c r="E116" i="4"/>
  <c r="E117" i="4"/>
  <c r="D107" i="4"/>
  <c r="D108" i="4"/>
  <c r="D109" i="4"/>
  <c r="D111" i="4"/>
  <c r="D112" i="4"/>
  <c r="D113" i="4"/>
  <c r="D114" i="4"/>
  <c r="D115" i="4"/>
  <c r="D116" i="4"/>
  <c r="D117" i="4"/>
  <c r="E106" i="4"/>
  <c r="D106" i="4"/>
  <c r="F83" i="4"/>
  <c r="F85" i="4"/>
  <c r="F86" i="4"/>
  <c r="F87" i="4"/>
  <c r="F88" i="4"/>
  <c r="F89" i="4"/>
  <c r="F90" i="4"/>
  <c r="F91" i="4"/>
  <c r="F92" i="4"/>
  <c r="F93" i="4"/>
  <c r="F94" i="4"/>
  <c r="F95" i="4"/>
  <c r="H86" i="2" s="1"/>
  <c r="F96" i="4"/>
  <c r="F97" i="4"/>
  <c r="F98" i="4"/>
  <c r="F101" i="4"/>
  <c r="H120" i="2" s="1"/>
  <c r="F103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G86" i="2" s="1"/>
  <c r="E97" i="4"/>
  <c r="E98" i="4"/>
  <c r="E101" i="4"/>
  <c r="G120" i="2" s="1"/>
  <c r="E103" i="4"/>
  <c r="D83" i="4"/>
  <c r="D85" i="4"/>
  <c r="D86" i="4"/>
  <c r="D87" i="4"/>
  <c r="D88" i="4"/>
  <c r="D89" i="4"/>
  <c r="D90" i="4"/>
  <c r="D91" i="4"/>
  <c r="D92" i="4"/>
  <c r="D93" i="4"/>
  <c r="D94" i="4"/>
  <c r="D95" i="4"/>
  <c r="F86" i="2" s="1"/>
  <c r="D97" i="4"/>
  <c r="D98" i="4"/>
  <c r="D101" i="4"/>
  <c r="F120" i="2" s="1"/>
  <c r="D103" i="4"/>
  <c r="F70" i="4"/>
  <c r="F71" i="4"/>
  <c r="F72" i="4"/>
  <c r="F73" i="4"/>
  <c r="F75" i="4"/>
  <c r="F76" i="4"/>
  <c r="F77" i="4"/>
  <c r="F78" i="4"/>
  <c r="E70" i="4"/>
  <c r="E71" i="4"/>
  <c r="E72" i="4"/>
  <c r="E73" i="4"/>
  <c r="E74" i="4"/>
  <c r="E76" i="4"/>
  <c r="E78" i="4"/>
  <c r="D70" i="4"/>
  <c r="D71" i="4"/>
  <c r="D72" i="4"/>
  <c r="D73" i="4"/>
  <c r="D78" i="4"/>
  <c r="E69" i="4"/>
  <c r="F69" i="4"/>
  <c r="D69" i="4"/>
  <c r="E68" i="4"/>
  <c r="F68" i="4"/>
  <c r="D68" i="4"/>
  <c r="E67" i="4"/>
  <c r="F67" i="4"/>
  <c r="D67" i="4"/>
  <c r="E66" i="4"/>
  <c r="F66" i="4"/>
  <c r="D66" i="4"/>
  <c r="E63" i="4"/>
  <c r="F63" i="4"/>
  <c r="D63" i="4"/>
  <c r="E57" i="4"/>
  <c r="F57" i="4"/>
  <c r="D57" i="4"/>
  <c r="F55" i="4"/>
  <c r="H93" i="2" s="1"/>
  <c r="E54" i="4"/>
  <c r="F54" i="4"/>
  <c r="D54" i="4"/>
  <c r="E53" i="4"/>
  <c r="F53" i="4"/>
  <c r="D53" i="4"/>
  <c r="E52" i="4"/>
  <c r="F52" i="4"/>
  <c r="F312" i="4"/>
  <c r="E312" i="4"/>
  <c r="F296" i="4"/>
  <c r="E296" i="4"/>
  <c r="E387" i="4"/>
  <c r="F387" i="4"/>
  <c r="F161" i="4"/>
  <c r="F82" i="2" l="1"/>
  <c r="H82" i="2"/>
  <c r="G82" i="2"/>
  <c r="F132" i="4"/>
  <c r="AM257" i="2"/>
  <c r="AM268" i="2"/>
  <c r="AM267" i="2"/>
  <c r="AM255" i="2"/>
  <c r="AM253" i="2"/>
  <c r="F84" i="4"/>
  <c r="F80" i="4" s="1"/>
  <c r="E287" i="4"/>
  <c r="D121" i="4"/>
  <c r="F378" i="4"/>
  <c r="F377" i="4" s="1"/>
  <c r="F119" i="4"/>
  <c r="H154" i="2" s="1"/>
  <c r="E377" i="4"/>
  <c r="D377" i="4"/>
  <c r="E119" i="4"/>
  <c r="G154" i="2" s="1"/>
  <c r="D122" i="4"/>
  <c r="D84" i="4"/>
  <c r="E220" i="4"/>
  <c r="E211" i="4" s="1"/>
  <c r="D220" i="4"/>
  <c r="D211" i="4" s="1"/>
  <c r="E96" i="4"/>
  <c r="E80" i="4" s="1"/>
  <c r="D161" i="4"/>
  <c r="D132" i="4" s="1"/>
  <c r="D81" i="4"/>
  <c r="D104" i="4"/>
  <c r="F104" i="4"/>
  <c r="E104" i="4"/>
  <c r="D287" i="4"/>
  <c r="F287" i="4"/>
  <c r="D64" i="4"/>
  <c r="G153" i="2" l="1"/>
  <c r="H153" i="2"/>
  <c r="AM251" i="2"/>
  <c r="AM249" i="2" s="1"/>
  <c r="Q253" i="2"/>
  <c r="AM264" i="2"/>
  <c r="H69" i="2"/>
  <c r="D18" i="4"/>
  <c r="F64" i="2" s="1"/>
  <c r="F153" i="2"/>
  <c r="D119" i="4"/>
  <c r="D80" i="4"/>
  <c r="E18" i="4" l="1"/>
  <c r="G69" i="2"/>
  <c r="D395" i="4"/>
  <c r="C22" i="5" s="1"/>
  <c r="D51" i="4"/>
  <c r="H18" i="4" s="1"/>
  <c r="F18" i="4"/>
  <c r="H64" i="2" s="1"/>
  <c r="F154" i="2"/>
  <c r="G64" i="2" l="1"/>
  <c r="R22" i="5"/>
  <c r="K23" i="3"/>
  <c r="G149" i="2" l="1"/>
  <c r="H149" i="2"/>
  <c r="F149" i="2"/>
  <c r="I15" i="3" l="1"/>
  <c r="G81" i="2" l="1"/>
  <c r="H81" i="2"/>
  <c r="G119" i="2" l="1"/>
  <c r="H119" i="2"/>
  <c r="F119" i="2"/>
  <c r="G116" i="2"/>
  <c r="H116" i="2"/>
  <c r="F116" i="2"/>
  <c r="H113" i="2"/>
  <c r="G113" i="2"/>
  <c r="F113" i="2"/>
  <c r="G92" i="2"/>
  <c r="H92" i="2"/>
  <c r="F92" i="2"/>
  <c r="G85" i="2"/>
  <c r="H85" i="2"/>
  <c r="F85" i="2"/>
  <c r="V267" i="2" l="1"/>
  <c r="Q267" i="2" s="1"/>
  <c r="V257" i="2"/>
  <c r="Q257" i="2" s="1"/>
  <c r="V255" i="2"/>
  <c r="V268" i="2"/>
  <c r="Q268" i="2" s="1"/>
  <c r="V265" i="2"/>
  <c r="F112" i="2"/>
  <c r="K116" i="3"/>
  <c r="H8" i="3"/>
  <c r="G8" i="3"/>
  <c r="F8" i="3"/>
  <c r="F10" i="3"/>
  <c r="F40" i="4"/>
  <c r="H170" i="2" s="1"/>
  <c r="E40" i="4"/>
  <c r="G170" i="2" s="1"/>
  <c r="D40" i="4"/>
  <c r="F29" i="4"/>
  <c r="H169" i="2" s="1"/>
  <c r="E29" i="4"/>
  <c r="G169" i="2" s="1"/>
  <c r="D29" i="4"/>
  <c r="F169" i="2" s="1"/>
  <c r="F7" i="4"/>
  <c r="F392" i="4" s="1"/>
  <c r="E7" i="4"/>
  <c r="E392" i="4" s="1"/>
  <c r="D7" i="4"/>
  <c r="B6" i="4"/>
  <c r="C6" i="4" s="1"/>
  <c r="D6" i="4" s="1"/>
  <c r="E6" i="4" s="1"/>
  <c r="F6" i="4" s="1"/>
  <c r="E5" i="4"/>
  <c r="F5" i="4" s="1"/>
  <c r="E11" i="5" l="1"/>
  <c r="K112" i="3"/>
  <c r="F170" i="2"/>
  <c r="AM289" i="2"/>
  <c r="I18" i="4"/>
  <c r="V251" i="2"/>
  <c r="V249" i="2" s="1"/>
  <c r="Q265" i="2"/>
  <c r="V264" i="2"/>
  <c r="Q264" i="2" s="1"/>
  <c r="Q255" i="2"/>
  <c r="D392" i="4"/>
  <c r="D393" i="4" s="1"/>
  <c r="F64" i="4"/>
  <c r="E64" i="4"/>
  <c r="F51" i="4" l="1"/>
  <c r="F393" i="4" s="1"/>
  <c r="F395" i="4"/>
  <c r="E22" i="5" s="1"/>
  <c r="T22" i="5" s="1"/>
  <c r="E51" i="4"/>
  <c r="E393" i="4" s="1"/>
  <c r="E395" i="4"/>
  <c r="D22" i="5" s="1"/>
  <c r="S22" i="5" s="1"/>
  <c r="Q251" i="2"/>
  <c r="D1" i="4"/>
  <c r="L204" i="3"/>
  <c r="K204" i="3"/>
  <c r="J204" i="3"/>
  <c r="I204" i="3"/>
  <c r="L201" i="3"/>
  <c r="L202" i="3" s="1"/>
  <c r="K201" i="3"/>
  <c r="J201" i="3"/>
  <c r="I201" i="3"/>
  <c r="I202" i="3" s="1"/>
  <c r="F122" i="3"/>
  <c r="H122" i="3"/>
  <c r="G122" i="3"/>
  <c r="H121" i="3"/>
  <c r="G121" i="3"/>
  <c r="F121" i="3"/>
  <c r="I116" i="3"/>
  <c r="H119" i="3"/>
  <c r="G119" i="3"/>
  <c r="F119" i="3"/>
  <c r="H118" i="3"/>
  <c r="G118" i="3"/>
  <c r="F118" i="3"/>
  <c r="H116" i="3"/>
  <c r="G116" i="3"/>
  <c r="E1" i="4" l="1"/>
  <c r="F116" i="3"/>
  <c r="C11" i="5"/>
  <c r="I112" i="3"/>
  <c r="F1" i="4"/>
  <c r="Q249" i="2"/>
  <c r="J202" i="3"/>
  <c r="K202" i="3"/>
  <c r="F115" i="2" l="1"/>
  <c r="G115" i="2"/>
  <c r="H115" i="2"/>
  <c r="L199" i="3"/>
  <c r="K199" i="3"/>
  <c r="J199" i="3"/>
  <c r="I199" i="3"/>
  <c r="L197" i="3"/>
  <c r="L198" i="3" s="1"/>
  <c r="K197" i="3"/>
  <c r="K198" i="3" s="1"/>
  <c r="J197" i="3"/>
  <c r="J198" i="3" s="1"/>
  <c r="I197" i="3"/>
  <c r="I198" i="3" s="1"/>
  <c r="H191" i="3"/>
  <c r="G191" i="3"/>
  <c r="F191" i="3"/>
  <c r="H190" i="3"/>
  <c r="G190" i="3"/>
  <c r="G188" i="3" s="1"/>
  <c r="F190" i="3"/>
  <c r="H189" i="3"/>
  <c r="G189" i="3"/>
  <c r="F189" i="3"/>
  <c r="F188" i="3" s="1"/>
  <c r="N188" i="3"/>
  <c r="N181" i="3" s="1"/>
  <c r="N176" i="3" s="1"/>
  <c r="M188" i="3"/>
  <c r="M181" i="3" s="1"/>
  <c r="M176" i="3" s="1"/>
  <c r="L188" i="3"/>
  <c r="L181" i="3" s="1"/>
  <c r="L176" i="3" s="1"/>
  <c r="K188" i="3"/>
  <c r="J188" i="3"/>
  <c r="I188" i="3"/>
  <c r="H187" i="3"/>
  <c r="G187" i="3"/>
  <c r="F187" i="3"/>
  <c r="H186" i="3"/>
  <c r="G186" i="3"/>
  <c r="F186" i="3"/>
  <c r="L175" i="3"/>
  <c r="F175" i="3" s="1"/>
  <c r="H146" i="3"/>
  <c r="G146" i="3"/>
  <c r="F146" i="3"/>
  <c r="H145" i="3"/>
  <c r="G145" i="3"/>
  <c r="F145" i="3"/>
  <c r="H143" i="3"/>
  <c r="G143" i="3"/>
  <c r="N143" i="3"/>
  <c r="M143" i="3"/>
  <c r="L143" i="3"/>
  <c r="K143" i="3"/>
  <c r="J143" i="3"/>
  <c r="I143" i="3"/>
  <c r="F143" i="3"/>
  <c r="H142" i="3"/>
  <c r="H199" i="3" s="1"/>
  <c r="G142" i="3"/>
  <c r="G199" i="3" s="1"/>
  <c r="F142" i="3"/>
  <c r="F199" i="3" s="1"/>
  <c r="H141" i="3"/>
  <c r="G141" i="3"/>
  <c r="F141" i="3"/>
  <c r="H140" i="3"/>
  <c r="G140" i="3"/>
  <c r="F140" i="3"/>
  <c r="H139" i="3"/>
  <c r="H137" i="3" s="1"/>
  <c r="G139" i="3"/>
  <c r="F139" i="3"/>
  <c r="H138" i="3"/>
  <c r="G138" i="3"/>
  <c r="F138" i="3"/>
  <c r="N137" i="3"/>
  <c r="M137" i="3"/>
  <c r="L137" i="3"/>
  <c r="L132" i="3" s="1"/>
  <c r="L4" i="3" s="1"/>
  <c r="K137" i="3"/>
  <c r="J137" i="3"/>
  <c r="H136" i="3"/>
  <c r="G136" i="3"/>
  <c r="F136" i="3"/>
  <c r="H135" i="3"/>
  <c r="G135" i="3"/>
  <c r="F135" i="3"/>
  <c r="H134" i="3"/>
  <c r="H133" i="3" s="1"/>
  <c r="G134" i="3"/>
  <c r="G133" i="3" s="1"/>
  <c r="F134" i="3"/>
  <c r="N133" i="3"/>
  <c r="M133" i="3"/>
  <c r="L133" i="3"/>
  <c r="K133" i="3"/>
  <c r="J133" i="3"/>
  <c r="I133" i="3"/>
  <c r="H131" i="3"/>
  <c r="G131" i="3"/>
  <c r="F131" i="3"/>
  <c r="H130" i="3"/>
  <c r="G130" i="3"/>
  <c r="F130" i="3"/>
  <c r="H129" i="3"/>
  <c r="G129" i="3"/>
  <c r="F129" i="3"/>
  <c r="H128" i="3"/>
  <c r="G128" i="3"/>
  <c r="F128" i="3"/>
  <c r="H127" i="3"/>
  <c r="G127" i="3"/>
  <c r="F127" i="3"/>
  <c r="H126" i="3"/>
  <c r="G126" i="3"/>
  <c r="F126" i="3"/>
  <c r="H125" i="3"/>
  <c r="G125" i="3"/>
  <c r="F125" i="3"/>
  <c r="H124" i="3"/>
  <c r="G124" i="3"/>
  <c r="F124" i="3"/>
  <c r="H123" i="3"/>
  <c r="G123" i="3"/>
  <c r="F123" i="3"/>
  <c r="H120" i="3"/>
  <c r="G120" i="3"/>
  <c r="F120" i="3"/>
  <c r="H117" i="3"/>
  <c r="G117" i="3"/>
  <c r="F117" i="3"/>
  <c r="N112" i="3"/>
  <c r="M112" i="3"/>
  <c r="L112" i="3"/>
  <c r="H111" i="3"/>
  <c r="G111" i="3"/>
  <c r="F111" i="3"/>
  <c r="H110" i="3"/>
  <c r="G110" i="3"/>
  <c r="F110" i="3"/>
  <c r="H109" i="3"/>
  <c r="G109" i="3"/>
  <c r="F109" i="3"/>
  <c r="H108" i="3"/>
  <c r="G108" i="3"/>
  <c r="F108" i="3"/>
  <c r="H107" i="3"/>
  <c r="G107" i="3"/>
  <c r="F107" i="3"/>
  <c r="H106" i="3"/>
  <c r="G106" i="3"/>
  <c r="F106" i="3"/>
  <c r="H105" i="3"/>
  <c r="G105" i="3"/>
  <c r="F105" i="3"/>
  <c r="H104" i="3"/>
  <c r="G104" i="3"/>
  <c r="F104" i="3"/>
  <c r="H103" i="3"/>
  <c r="G103" i="3"/>
  <c r="F103" i="3"/>
  <c r="H102" i="3"/>
  <c r="G102" i="3"/>
  <c r="F102" i="3"/>
  <c r="H101" i="3"/>
  <c r="G101" i="3"/>
  <c r="F101" i="3"/>
  <c r="H100" i="3"/>
  <c r="G100" i="3"/>
  <c r="F100" i="3"/>
  <c r="H99" i="3"/>
  <c r="G99" i="3"/>
  <c r="F99" i="3"/>
  <c r="H98" i="3"/>
  <c r="G98" i="3"/>
  <c r="F98" i="3"/>
  <c r="H97" i="3"/>
  <c r="G97" i="3"/>
  <c r="F97" i="3"/>
  <c r="H96" i="3"/>
  <c r="G96" i="3"/>
  <c r="F96" i="3"/>
  <c r="H95" i="3"/>
  <c r="G95" i="3"/>
  <c r="G92" i="3" s="1"/>
  <c r="F95" i="3"/>
  <c r="H94" i="3"/>
  <c r="G94" i="3"/>
  <c r="F94" i="3"/>
  <c r="H93" i="3"/>
  <c r="G93" i="3"/>
  <c r="F93" i="3"/>
  <c r="N92" i="3"/>
  <c r="M92" i="3"/>
  <c r="L92" i="3"/>
  <c r="K92" i="3"/>
  <c r="J92" i="3"/>
  <c r="I92" i="3"/>
  <c r="H91" i="3"/>
  <c r="G91" i="3"/>
  <c r="F91" i="3"/>
  <c r="H90" i="3"/>
  <c r="G90" i="3"/>
  <c r="F90" i="3"/>
  <c r="H89" i="3"/>
  <c r="G89" i="3"/>
  <c r="F89" i="3"/>
  <c r="H88" i="3"/>
  <c r="G88" i="3"/>
  <c r="F88" i="3"/>
  <c r="H87" i="3"/>
  <c r="G87" i="3"/>
  <c r="F87" i="3"/>
  <c r="H86" i="3"/>
  <c r="G86" i="3"/>
  <c r="F86" i="3"/>
  <c r="H85" i="3"/>
  <c r="G85" i="3"/>
  <c r="F85" i="3"/>
  <c r="H84" i="3"/>
  <c r="G84" i="3"/>
  <c r="F84" i="3"/>
  <c r="H83" i="3"/>
  <c r="G83" i="3"/>
  <c r="F83" i="3"/>
  <c r="H82" i="3"/>
  <c r="G82" i="3"/>
  <c r="F82" i="3"/>
  <c r="H81" i="3"/>
  <c r="G81" i="3"/>
  <c r="F81" i="3"/>
  <c r="H80" i="3"/>
  <c r="G80" i="3"/>
  <c r="F80" i="3"/>
  <c r="H79" i="3"/>
  <c r="G79" i="3"/>
  <c r="F79" i="3"/>
  <c r="H78" i="3"/>
  <c r="G78" i="3"/>
  <c r="F78" i="3"/>
  <c r="H77" i="3"/>
  <c r="G77" i="3"/>
  <c r="F77" i="3"/>
  <c r="H76" i="3"/>
  <c r="G76" i="3"/>
  <c r="F76" i="3"/>
  <c r="H75" i="3"/>
  <c r="G75" i="3"/>
  <c r="F75" i="3"/>
  <c r="H74" i="3"/>
  <c r="G74" i="3"/>
  <c r="F74" i="3"/>
  <c r="H73" i="3"/>
  <c r="H72" i="3" s="1"/>
  <c r="G73" i="3"/>
  <c r="F73" i="3"/>
  <c r="N72" i="3"/>
  <c r="M72" i="3"/>
  <c r="L72" i="3"/>
  <c r="K72" i="3"/>
  <c r="J72" i="3"/>
  <c r="I72" i="3"/>
  <c r="H71" i="3"/>
  <c r="H70" i="3" s="1"/>
  <c r="G71" i="3"/>
  <c r="F71" i="3"/>
  <c r="N70" i="3"/>
  <c r="M70" i="3"/>
  <c r="L70" i="3"/>
  <c r="K70" i="3"/>
  <c r="J70" i="3"/>
  <c r="I70" i="3"/>
  <c r="F70" i="3"/>
  <c r="H204" i="3"/>
  <c r="G204" i="3"/>
  <c r="F204" i="3"/>
  <c r="H65" i="3"/>
  <c r="G65" i="3"/>
  <c r="F65" i="3"/>
  <c r="H64" i="3"/>
  <c r="G64" i="3"/>
  <c r="F64" i="3"/>
  <c r="H62" i="3"/>
  <c r="G62" i="3"/>
  <c r="F62" i="3"/>
  <c r="H61" i="3"/>
  <c r="G61" i="3"/>
  <c r="F61" i="3"/>
  <c r="H60" i="3"/>
  <c r="G60" i="3"/>
  <c r="F60" i="3"/>
  <c r="H59" i="3"/>
  <c r="G59" i="3"/>
  <c r="F59" i="3"/>
  <c r="N58" i="3"/>
  <c r="M58" i="3"/>
  <c r="L58" i="3"/>
  <c r="L196" i="3" s="1"/>
  <c r="K58" i="3"/>
  <c r="H150" i="2" s="1"/>
  <c r="J58" i="3"/>
  <c r="G150" i="2" s="1"/>
  <c r="I58" i="3"/>
  <c r="F150" i="2" s="1"/>
  <c r="H57" i="3"/>
  <c r="G57" i="3"/>
  <c r="F57" i="3"/>
  <c r="H56" i="3"/>
  <c r="G56" i="3"/>
  <c r="H55" i="3"/>
  <c r="G55" i="3"/>
  <c r="F55" i="3"/>
  <c r="H54" i="3"/>
  <c r="G54" i="3"/>
  <c r="H53" i="3"/>
  <c r="G53" i="3"/>
  <c r="F53" i="3"/>
  <c r="H52" i="3"/>
  <c r="G52" i="3"/>
  <c r="F52" i="3"/>
  <c r="H51" i="3"/>
  <c r="G51" i="3"/>
  <c r="F51" i="3"/>
  <c r="H50" i="3"/>
  <c r="G50" i="3"/>
  <c r="F50" i="3"/>
  <c r="H49" i="3"/>
  <c r="G49" i="3"/>
  <c r="F49" i="3"/>
  <c r="H48" i="3"/>
  <c r="G48" i="3"/>
  <c r="F48" i="3"/>
  <c r="H47" i="3"/>
  <c r="G47" i="3"/>
  <c r="F47" i="3"/>
  <c r="H46" i="3"/>
  <c r="G46" i="3"/>
  <c r="F46" i="3"/>
  <c r="H45" i="3"/>
  <c r="G45" i="3"/>
  <c r="F45" i="3"/>
  <c r="H44" i="3"/>
  <c r="G44" i="3"/>
  <c r="F44" i="3"/>
  <c r="H43" i="3"/>
  <c r="G43" i="3"/>
  <c r="F43" i="3"/>
  <c r="H42" i="3"/>
  <c r="G42" i="3"/>
  <c r="F42" i="3"/>
  <c r="N41" i="3"/>
  <c r="M41" i="3"/>
  <c r="L41" i="3"/>
  <c r="K41" i="3"/>
  <c r="J41" i="3"/>
  <c r="I41" i="3"/>
  <c r="H40" i="3"/>
  <c r="G40" i="3"/>
  <c r="F40" i="3"/>
  <c r="F39" i="3" s="1"/>
  <c r="G39" i="3" s="1"/>
  <c r="H39" i="3" s="1"/>
  <c r="H38" i="3"/>
  <c r="G38" i="3"/>
  <c r="F38" i="3"/>
  <c r="H37" i="3"/>
  <c r="G37" i="3"/>
  <c r="F37" i="3"/>
  <c r="H36" i="3"/>
  <c r="G36" i="3"/>
  <c r="F36" i="3"/>
  <c r="H35" i="3"/>
  <c r="G35" i="3"/>
  <c r="F35" i="3"/>
  <c r="H34" i="3"/>
  <c r="G34" i="3"/>
  <c r="F34" i="3"/>
  <c r="H33" i="3"/>
  <c r="G33" i="3"/>
  <c r="F33" i="3"/>
  <c r="H32" i="3"/>
  <c r="G32" i="3"/>
  <c r="F32" i="3"/>
  <c r="H31" i="3"/>
  <c r="G31" i="3"/>
  <c r="F31" i="3"/>
  <c r="H30" i="3"/>
  <c r="G30" i="3"/>
  <c r="F30" i="3"/>
  <c r="H29" i="3"/>
  <c r="G29" i="3"/>
  <c r="F29" i="3"/>
  <c r="H28" i="3"/>
  <c r="F28" i="3"/>
  <c r="H27" i="3"/>
  <c r="G27" i="3"/>
  <c r="F27" i="3"/>
  <c r="H26" i="3"/>
  <c r="G26" i="3"/>
  <c r="H25" i="3"/>
  <c r="G25" i="3"/>
  <c r="F25" i="3"/>
  <c r="H24" i="3"/>
  <c r="G24" i="3"/>
  <c r="F24" i="3"/>
  <c r="N23" i="3"/>
  <c r="M23" i="3"/>
  <c r="L23" i="3"/>
  <c r="H22" i="3"/>
  <c r="G22" i="3"/>
  <c r="F22" i="3"/>
  <c r="H16" i="3"/>
  <c r="G16" i="3"/>
  <c r="F16" i="3"/>
  <c r="F15" i="3"/>
  <c r="H15" i="3"/>
  <c r="G15" i="3"/>
  <c r="H14" i="3"/>
  <c r="H13" i="3" s="1"/>
  <c r="G14" i="3"/>
  <c r="N13" i="3"/>
  <c r="M13" i="3"/>
  <c r="M6" i="3" s="1"/>
  <c r="M5" i="3" s="1"/>
  <c r="L13" i="3"/>
  <c r="K13" i="3"/>
  <c r="J13" i="3"/>
  <c r="I13" i="3"/>
  <c r="H12" i="3"/>
  <c r="G12" i="3"/>
  <c r="H11" i="3"/>
  <c r="G11" i="3"/>
  <c r="F11" i="3"/>
  <c r="F9" i="3"/>
  <c r="H7" i="3"/>
  <c r="G7" i="3"/>
  <c r="M3" i="3"/>
  <c r="N3" i="3" s="1"/>
  <c r="J3" i="3"/>
  <c r="K3" i="3" s="1"/>
  <c r="G3" i="3"/>
  <c r="H3" i="3" s="1"/>
  <c r="I206" i="2"/>
  <c r="I223" i="2" s="1"/>
  <c r="H206" i="2"/>
  <c r="H223" i="2" s="1"/>
  <c r="G206" i="2"/>
  <c r="G223" i="2" s="1"/>
  <c r="F206" i="2"/>
  <c r="F223" i="2" s="1"/>
  <c r="I202" i="2"/>
  <c r="I222" i="2" s="1"/>
  <c r="I198" i="2"/>
  <c r="I192" i="2"/>
  <c r="H192" i="2"/>
  <c r="G192" i="2"/>
  <c r="I189" i="2"/>
  <c r="I184" i="2"/>
  <c r="H184" i="2"/>
  <c r="F184" i="2"/>
  <c r="H179" i="2"/>
  <c r="E4" i="5" s="1"/>
  <c r="H4" i="5" s="1"/>
  <c r="K4" i="5" s="1"/>
  <c r="N4" i="5" s="1"/>
  <c r="Q4" i="5" s="1"/>
  <c r="T4" i="5" s="1"/>
  <c r="W4" i="5" s="1"/>
  <c r="G179" i="2"/>
  <c r="D4" i="5" s="1"/>
  <c r="G4" i="5" s="1"/>
  <c r="J4" i="5" s="1"/>
  <c r="M4" i="5" s="1"/>
  <c r="P4" i="5" s="1"/>
  <c r="S4" i="5" s="1"/>
  <c r="V4" i="5" s="1"/>
  <c r="F179" i="2"/>
  <c r="C4" i="5" s="1"/>
  <c r="F4" i="5" s="1"/>
  <c r="I4" i="5" s="1"/>
  <c r="L4" i="5" s="1"/>
  <c r="O4" i="5" s="1"/>
  <c r="R4" i="5" s="1"/>
  <c r="U4" i="5" s="1"/>
  <c r="H168" i="2"/>
  <c r="G168" i="2"/>
  <c r="F168" i="2"/>
  <c r="I162" i="2"/>
  <c r="H162" i="2"/>
  <c r="G162" i="2"/>
  <c r="F162" i="2"/>
  <c r="I160" i="2"/>
  <c r="H160" i="2"/>
  <c r="G160" i="2"/>
  <c r="F160" i="2"/>
  <c r="I159" i="2"/>
  <c r="H159" i="2"/>
  <c r="G159" i="2"/>
  <c r="F159" i="2"/>
  <c r="I155" i="2"/>
  <c r="I151" i="2"/>
  <c r="H151" i="2"/>
  <c r="H199" i="2" s="1"/>
  <c r="G151" i="2"/>
  <c r="G199" i="2" s="1"/>
  <c r="F151" i="2"/>
  <c r="F199" i="2" s="1"/>
  <c r="I147" i="2"/>
  <c r="I146" i="2" s="1"/>
  <c r="I143" i="2"/>
  <c r="I139" i="2"/>
  <c r="H139" i="2"/>
  <c r="G139" i="2"/>
  <c r="F139" i="2"/>
  <c r="H135" i="2"/>
  <c r="H134" i="2" s="1"/>
  <c r="G135" i="2"/>
  <c r="G134" i="2" s="1"/>
  <c r="F135" i="2"/>
  <c r="F134" i="2" s="1"/>
  <c r="H130" i="2"/>
  <c r="G130" i="2"/>
  <c r="F130" i="2"/>
  <c r="H126" i="2"/>
  <c r="G126" i="2"/>
  <c r="F126" i="2"/>
  <c r="H122" i="2"/>
  <c r="G122" i="2"/>
  <c r="F122" i="2"/>
  <c r="H118" i="2"/>
  <c r="F118" i="2"/>
  <c r="G118" i="2"/>
  <c r="G112" i="2"/>
  <c r="H112" i="2"/>
  <c r="H109" i="2"/>
  <c r="G109" i="2"/>
  <c r="F109" i="2"/>
  <c r="H107" i="2"/>
  <c r="G107" i="2"/>
  <c r="F107" i="2"/>
  <c r="H105" i="2"/>
  <c r="G105" i="2"/>
  <c r="F105" i="2"/>
  <c r="H103" i="2"/>
  <c r="G103" i="2"/>
  <c r="F103" i="2"/>
  <c r="H100" i="2"/>
  <c r="G100" i="2"/>
  <c r="F100" i="2"/>
  <c r="H95" i="2"/>
  <c r="G95" i="2"/>
  <c r="F95" i="2"/>
  <c r="H91" i="2"/>
  <c r="G91" i="2"/>
  <c r="F91" i="2"/>
  <c r="H87" i="2"/>
  <c r="G87" i="2"/>
  <c r="F87" i="2"/>
  <c r="H84" i="2"/>
  <c r="G84" i="2"/>
  <c r="F84" i="2"/>
  <c r="H80" i="2"/>
  <c r="G80" i="2"/>
  <c r="F80" i="2"/>
  <c r="I73" i="2"/>
  <c r="H73" i="2"/>
  <c r="G73" i="2"/>
  <c r="F73" i="2"/>
  <c r="I70" i="2"/>
  <c r="H70" i="2"/>
  <c r="G70" i="2"/>
  <c r="F70" i="2"/>
  <c r="I62" i="2"/>
  <c r="I60" i="2" s="1"/>
  <c r="F148" i="2" l="1"/>
  <c r="I6" i="3"/>
  <c r="G181" i="3"/>
  <c r="G176" i="3" s="1"/>
  <c r="G137" i="3"/>
  <c r="M175" i="3"/>
  <c r="G175" i="3" s="1"/>
  <c r="N175" i="3"/>
  <c r="H175" i="3" s="1"/>
  <c r="E6" i="5"/>
  <c r="F77" i="2"/>
  <c r="F76" i="2" s="1"/>
  <c r="C6" i="5"/>
  <c r="R6" i="5" s="1"/>
  <c r="D6" i="5"/>
  <c r="S6" i="5" s="1"/>
  <c r="N132" i="3"/>
  <c r="M132" i="3"/>
  <c r="H132" i="3"/>
  <c r="H188" i="3"/>
  <c r="H181" i="3" s="1"/>
  <c r="H176" i="3" s="1"/>
  <c r="F155" i="2"/>
  <c r="G132" i="3"/>
  <c r="G67" i="2"/>
  <c r="G66" i="2" s="1"/>
  <c r="N6" i="3"/>
  <c r="N5" i="3" s="1"/>
  <c r="F58" i="3"/>
  <c r="F196" i="3" s="1"/>
  <c r="F92" i="3"/>
  <c r="H92" i="3"/>
  <c r="H155" i="2"/>
  <c r="H67" i="2"/>
  <c r="H66" i="2" s="1"/>
  <c r="F133" i="3"/>
  <c r="G201" i="3"/>
  <c r="G202" i="3" s="1"/>
  <c r="G58" i="3"/>
  <c r="G196" i="3" s="1"/>
  <c r="G72" i="3"/>
  <c r="G112" i="3"/>
  <c r="L193" i="3"/>
  <c r="L194" i="3" s="1"/>
  <c r="L6" i="3"/>
  <c r="L5" i="3" s="1"/>
  <c r="F72" i="3"/>
  <c r="F67" i="2"/>
  <c r="AM241" i="2" s="1"/>
  <c r="Q241" i="2" s="1"/>
  <c r="I188" i="2"/>
  <c r="T6" i="5"/>
  <c r="E5" i="5"/>
  <c r="H58" i="3"/>
  <c r="H196" i="3" s="1"/>
  <c r="I193" i="3"/>
  <c r="AM274" i="2"/>
  <c r="AM270" i="2" s="1"/>
  <c r="AM248" i="2" s="1"/>
  <c r="H63" i="3"/>
  <c r="K193" i="3"/>
  <c r="K5" i="3"/>
  <c r="K4" i="3" s="1"/>
  <c r="J193" i="3"/>
  <c r="J5" i="3"/>
  <c r="J4" i="3" s="1"/>
  <c r="AM239" i="2"/>
  <c r="H90" i="2"/>
  <c r="H79" i="2" s="1"/>
  <c r="F99" i="2"/>
  <c r="F98" i="2" s="1"/>
  <c r="G99" i="2"/>
  <c r="G98" i="2" s="1"/>
  <c r="F201" i="3"/>
  <c r="F202" i="3" s="1"/>
  <c r="F41" i="3"/>
  <c r="H201" i="3"/>
  <c r="H202" i="3" s="1"/>
  <c r="G63" i="3"/>
  <c r="G121" i="2"/>
  <c r="I138" i="2"/>
  <c r="I181" i="2" s="1"/>
  <c r="H121" i="2"/>
  <c r="F90" i="2"/>
  <c r="F79" i="2" s="1"/>
  <c r="F121" i="2"/>
  <c r="G90" i="2"/>
  <c r="G79" i="2" s="1"/>
  <c r="H99" i="2"/>
  <c r="H98" i="2" s="1"/>
  <c r="G13" i="3"/>
  <c r="K196" i="3"/>
  <c r="J196" i="3"/>
  <c r="I196" i="3"/>
  <c r="G41" i="3"/>
  <c r="H41" i="3"/>
  <c r="H111" i="2"/>
  <c r="H112" i="3"/>
  <c r="F112" i="3"/>
  <c r="H23" i="3"/>
  <c r="G70" i="3"/>
  <c r="F137" i="3"/>
  <c r="H197" i="3"/>
  <c r="H198" i="3" s="1"/>
  <c r="F12" i="3"/>
  <c r="G197" i="3"/>
  <c r="G198" i="3" s="1"/>
  <c r="F197" i="3"/>
  <c r="F198" i="3" s="1"/>
  <c r="G111" i="2"/>
  <c r="F111" i="2"/>
  <c r="G10" i="3"/>
  <c r="F7" i="3"/>
  <c r="F14" i="3"/>
  <c r="F13" i="3" s="1"/>
  <c r="F26" i="3"/>
  <c r="F23" i="3" s="1"/>
  <c r="G28" i="3"/>
  <c r="G23" i="3" s="1"/>
  <c r="F54" i="3"/>
  <c r="F56" i="3"/>
  <c r="F63" i="3"/>
  <c r="N4" i="3" l="1"/>
  <c r="M4" i="3"/>
  <c r="G155" i="2"/>
  <c r="C5" i="5"/>
  <c r="F193" i="2"/>
  <c r="F192" i="2" s="1"/>
  <c r="D5" i="5"/>
  <c r="R5" i="5"/>
  <c r="F132" i="3"/>
  <c r="F11" i="12"/>
  <c r="J11" i="12" s="1"/>
  <c r="I5" i="3"/>
  <c r="C11" i="13" s="1"/>
  <c r="S5" i="5"/>
  <c r="T5" i="5"/>
  <c r="AA274" i="2"/>
  <c r="AA270" i="2" s="1"/>
  <c r="AA248" i="2" s="1"/>
  <c r="F58" i="2"/>
  <c r="Q289" i="2" s="1"/>
  <c r="V289" i="2"/>
  <c r="AA242" i="2"/>
  <c r="F66" i="2"/>
  <c r="AM236" i="2"/>
  <c r="AM290" i="2" s="1"/>
  <c r="I221" i="2"/>
  <c r="I224" i="2"/>
  <c r="K194" i="3"/>
  <c r="J194" i="3"/>
  <c r="I194" i="3"/>
  <c r="H193" i="3"/>
  <c r="H194" i="3" s="1"/>
  <c r="F193" i="3"/>
  <c r="F198" i="2"/>
  <c r="H198" i="2"/>
  <c r="G198" i="2"/>
  <c r="I78" i="2"/>
  <c r="I59" i="2" s="1"/>
  <c r="H147" i="2"/>
  <c r="H190" i="2" s="1"/>
  <c r="F147" i="2"/>
  <c r="F190" i="2" s="1"/>
  <c r="G147" i="2"/>
  <c r="G190" i="2" s="1"/>
  <c r="G193" i="3"/>
  <c r="G194" i="3" s="1"/>
  <c r="F6" i="3"/>
  <c r="F5" i="3" s="1"/>
  <c r="G9" i="3"/>
  <c r="G6" i="3" s="1"/>
  <c r="G5" i="3" s="1"/>
  <c r="G4" i="3" s="1"/>
  <c r="H10" i="3"/>
  <c r="F194" i="3" l="1"/>
  <c r="F181" i="3"/>
  <c r="F176" i="3" s="1"/>
  <c r="I4" i="3"/>
  <c r="F4" i="3"/>
  <c r="S23" i="5"/>
  <c r="S24" i="5" s="1"/>
  <c r="F63" i="2"/>
  <c r="F62" i="2" s="1"/>
  <c r="R23" i="5"/>
  <c r="R24" i="5" s="1"/>
  <c r="AU289" i="2"/>
  <c r="AA236" i="2"/>
  <c r="AA290" i="2" s="1"/>
  <c r="Q242" i="2"/>
  <c r="H202" i="2"/>
  <c r="H205" i="2" s="1"/>
  <c r="T23" i="5"/>
  <c r="T24" i="5" s="1"/>
  <c r="V274" i="2"/>
  <c r="F146" i="2"/>
  <c r="F138" i="2" s="1"/>
  <c r="H146" i="2"/>
  <c r="H138" i="2" s="1"/>
  <c r="G146" i="2"/>
  <c r="G138" i="2" s="1"/>
  <c r="G63" i="2"/>
  <c r="G62" i="2" s="1"/>
  <c r="G60" i="2" s="1"/>
  <c r="H9" i="3"/>
  <c r="H6" i="3" s="1"/>
  <c r="H5" i="3" s="1"/>
  <c r="H4" i="3" s="1"/>
  <c r="V239" i="2" l="1"/>
  <c r="H181" i="2"/>
  <c r="E23" i="5"/>
  <c r="E24" i="5" s="1"/>
  <c r="G181" i="2"/>
  <c r="D23" i="5"/>
  <c r="D24" i="5" s="1"/>
  <c r="G189" i="2"/>
  <c r="G188" i="2" s="1"/>
  <c r="V236" i="2"/>
  <c r="Q239" i="2"/>
  <c r="Q236" i="2" s="1"/>
  <c r="G202" i="2"/>
  <c r="J204" i="2" s="1"/>
  <c r="F60" i="2"/>
  <c r="F189" i="2"/>
  <c r="F203" i="2" s="1"/>
  <c r="F202" i="2"/>
  <c r="H78" i="2"/>
  <c r="H189" i="2"/>
  <c r="G78" i="2"/>
  <c r="G227" i="2" s="1"/>
  <c r="H63" i="2"/>
  <c r="H62" i="2" s="1"/>
  <c r="H60" i="2" s="1"/>
  <c r="G204" i="2" l="1"/>
  <c r="K204" i="2" s="1"/>
  <c r="G221" i="2"/>
  <c r="F181" i="2"/>
  <c r="L184" i="2" s="1"/>
  <c r="C23" i="5"/>
  <c r="C24" i="5" s="1"/>
  <c r="AU236" i="2"/>
  <c r="H188" i="2"/>
  <c r="H221" i="2" s="1"/>
  <c r="F78" i="2"/>
  <c r="F227" i="2" s="1"/>
  <c r="D226" i="2" s="1"/>
  <c r="W305" i="2"/>
  <c r="F188" i="2"/>
  <c r="G224" i="2"/>
  <c r="H227" i="2"/>
  <c r="G59" i="2"/>
  <c r="F222" i="2"/>
  <c r="H59" i="2"/>
  <c r="AA306" i="2" l="1"/>
  <c r="G222" i="2"/>
  <c r="F221" i="2"/>
  <c r="L185" i="2"/>
  <c r="F59" i="2"/>
  <c r="W304" i="2"/>
  <c r="K305" i="2"/>
  <c r="AE307" i="2"/>
  <c r="H222" i="2"/>
  <c r="H224" i="2"/>
  <c r="F224" i="2"/>
  <c r="O306" i="2" l="1"/>
  <c r="AA304" i="2"/>
  <c r="S307" i="2"/>
  <c r="AE304" i="2"/>
  <c r="K304" i="2"/>
  <c r="K301" i="2" s="1"/>
  <c r="W301" i="2"/>
  <c r="O304" i="2" l="1"/>
  <c r="O301" i="2" s="1"/>
  <c r="AA301" i="2"/>
  <c r="S304" i="2"/>
  <c r="S301" i="2" s="1"/>
  <c r="AE301" i="2"/>
  <c r="Q274" i="2" l="1"/>
  <c r="V270" i="2"/>
  <c r="Q270" i="2" s="1"/>
  <c r="V248" i="2" l="1"/>
  <c r="Q248" i="2" l="1"/>
  <c r="V290" i="2"/>
  <c r="Q290" i="2" l="1"/>
  <c r="AU248" i="2"/>
  <c r="B218" i="2" l="1"/>
  <c r="G5" i="12"/>
</calcChain>
</file>

<file path=xl/comments1.xml><?xml version="1.0" encoding="utf-8"?>
<comments xmlns="http://schemas.openxmlformats.org/spreadsheetml/2006/main">
  <authors>
    <author>Надежда Владимировна Петрова</author>
  </authors>
  <commentList>
    <comment ref="H185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должно быть пусто
</t>
        </r>
      </text>
    </comment>
  </commentList>
</comments>
</file>

<file path=xl/comments2.xml><?xml version="1.0" encoding="utf-8"?>
<comments xmlns="http://schemas.openxmlformats.org/spreadsheetml/2006/main">
  <authors>
    <author>SEREGA</author>
  </authors>
  <commentList>
    <comment ref="I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утвержденный бюджет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В соответствии с утвержденным бюджетом
</t>
        </r>
      </text>
    </comment>
  </commentList>
</comments>
</file>

<file path=xl/comments3.xml><?xml version="1.0" encoding="utf-8"?>
<comments xmlns="http://schemas.openxmlformats.org/spreadsheetml/2006/main">
  <authors>
    <author>Надежда Владимировна Петрова</author>
  </authors>
  <commentList>
    <comment ref="A23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203+215</t>
        </r>
      </text>
    </comment>
    <comment ref="D210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остатки
</t>
        </r>
      </text>
    </comment>
    <comment ref="D286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остатки
</t>
        </r>
      </text>
    </comment>
  </commentList>
</comments>
</file>

<file path=xl/comments4.xml><?xml version="1.0" encoding="utf-8"?>
<comments xmlns="http://schemas.openxmlformats.org/spreadsheetml/2006/main">
  <authors>
    <author>Надежда Владимировна Петрова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строка 175 лист"Форма"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строка 178 лист"Форма"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строка 177 лист"Форма"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04"/>
          </rPr>
          <t>Надежда Владимировна Петрова:</t>
        </r>
        <r>
          <rPr>
            <sz val="9"/>
            <color indexed="81"/>
            <rFont val="Tahoma"/>
            <family val="2"/>
            <charset val="204"/>
          </rPr>
          <t xml:space="preserve">
строка 181 лист"Форма"</t>
        </r>
      </text>
    </comment>
  </commentList>
</comments>
</file>

<file path=xl/sharedStrings.xml><?xml version="1.0" encoding="utf-8"?>
<sst xmlns="http://schemas.openxmlformats.org/spreadsheetml/2006/main" count="2529" uniqueCount="806">
  <si>
    <t>СОГЛАСОВАНО:</t>
  </si>
  <si>
    <t>(Должность руководителя отраслевого подразделения администрации города (органа, осуществляющего функции и полномочия учредителя)</t>
  </si>
  <si>
    <t>«__»____________ 20__ г.</t>
  </si>
  <si>
    <t>УТВЕРЖДАЮ:</t>
  </si>
  <si>
    <t>(Должность руководителя муниципального учреждения)</t>
  </si>
  <si>
    <t>Коды</t>
  </si>
  <si>
    <t>от</t>
  </si>
  <si>
    <t>Дата</t>
  </si>
  <si>
    <t>по Сводному реестру</t>
  </si>
  <si>
    <t>Орган, осуществляющий</t>
  </si>
  <si>
    <t>функции и полномочия учредителя</t>
  </si>
  <si>
    <t>глава по БК</t>
  </si>
  <si>
    <t>ИНН</t>
  </si>
  <si>
    <t>КПП</t>
  </si>
  <si>
    <t>Учреждение (обособленное подразделение)</t>
  </si>
  <si>
    <t>по ОКЕИ</t>
  </si>
  <si>
    <t>Единица измерения: руб.</t>
  </si>
  <si>
    <t>Раздел 1. Поступления и выплаты</t>
  </si>
  <si>
    <t>Наименование показателя</t>
  </si>
  <si>
    <t>Код строки</t>
  </si>
  <si>
    <t xml:space="preserve">Код по бюджетной классификации Российской Федерации </t>
  </si>
  <si>
    <t xml:space="preserve">Аналитический код </t>
  </si>
  <si>
    <t>Сумма</t>
  </si>
  <si>
    <t>за пределами планового периода</t>
  </si>
  <si>
    <t xml:space="preserve">Остаток средств на начало текущего финансового года </t>
  </si>
  <si>
    <t>0001</t>
  </si>
  <si>
    <t>Х</t>
  </si>
  <si>
    <t xml:space="preserve">Остаток средств на конец текущего финансового года </t>
  </si>
  <si>
    <t>0002</t>
  </si>
  <si>
    <t>Доходы, всего:</t>
  </si>
  <si>
    <t>1000</t>
  </si>
  <si>
    <t xml:space="preserve"> в том числе:
  доходы от собственности, всего</t>
  </si>
  <si>
    <t>1100</t>
  </si>
  <si>
    <t xml:space="preserve">  доходы от оказания услуг, работ, компенсации 
  затрат учреждений, всего</t>
  </si>
  <si>
    <t>1200</t>
  </si>
  <si>
    <t xml:space="preserve">   в том числе:
    субсидии на финансовое обеспечение 
    выполнения муниципального задания 
    за счет средств бюджета публично-правового 
    образования, создавшего учреждение</t>
  </si>
  <si>
    <t>1210</t>
  </si>
  <si>
    <t xml:space="preserve">  доходы от штрафов, пеней, иных сумм 
  принудительного изъятия, всего</t>
  </si>
  <si>
    <t>1300</t>
  </si>
  <si>
    <t xml:space="preserve">  безвозмездные денежные поступления, всего</t>
  </si>
  <si>
    <t>1400</t>
  </si>
  <si>
    <t xml:space="preserve">  прочие доходы, всего</t>
  </si>
  <si>
    <t>1500</t>
  </si>
  <si>
    <t xml:space="preserve">   в том числе: 
    целевые субсидии</t>
  </si>
  <si>
    <t>1510</t>
  </si>
  <si>
    <t xml:space="preserve">    субсидии на осуществление 
    капитальных вложений</t>
  </si>
  <si>
    <t>1520</t>
  </si>
  <si>
    <t xml:space="preserve">  доходы от операций с активами, всего</t>
  </si>
  <si>
    <t>1900</t>
  </si>
  <si>
    <t xml:space="preserve">  прочие поступления, всего</t>
  </si>
  <si>
    <t>1980</t>
  </si>
  <si>
    <t xml:space="preserve">   из них:
    увеличение остатков денежных 
    средств за счет возврата дебиторской 
    задолженности прошлых лет</t>
  </si>
  <si>
    <t>1981</t>
  </si>
  <si>
    <t>Расходы, всего</t>
  </si>
  <si>
    <t>2000</t>
  </si>
  <si>
    <t xml:space="preserve"> в том числе:
  на выплаты персоналу, всего</t>
  </si>
  <si>
    <t>2100</t>
  </si>
  <si>
    <t xml:space="preserve">   в том числе:
    оплата труда</t>
  </si>
  <si>
    <t>2110</t>
  </si>
  <si>
    <t xml:space="preserve">     из них по источнику финансового обеспечения:
      </t>
  </si>
  <si>
    <t xml:space="preserve">    прочие выплаты персоналу, в том числе 
    компенсационного характера</t>
  </si>
  <si>
    <t>2120</t>
  </si>
  <si>
    <t xml:space="preserve">    иные выплаты, за исключением фонда оплаты 
    труда учреждения, для выполнения отдельных 
    полномочий</t>
  </si>
  <si>
    <t>2130</t>
  </si>
  <si>
    <t xml:space="preserve">    взносы по обязательному социальному 
    страхованию на выплаты по оплате труда 
    работников и иные выплаты работникам 
    учреждений, всего</t>
  </si>
  <si>
    <t>2140</t>
  </si>
  <si>
    <t xml:space="preserve">     в том числе: 
      на выплаты по оплате труда</t>
  </si>
  <si>
    <t>2141</t>
  </si>
  <si>
    <t xml:space="preserve">      на иные выплаты работникам</t>
  </si>
  <si>
    <t>2142</t>
  </si>
  <si>
    <t xml:space="preserve">  социальные и иные выплаты населению, всего</t>
  </si>
  <si>
    <t>2200</t>
  </si>
  <si>
    <t xml:space="preserve">   в том числе:
    социальные выплаты гражданам, кроме 
    публичных нормативных социальных выплат</t>
  </si>
  <si>
    <t>2210</t>
  </si>
  <si>
    <t xml:space="preserve">     из них: 
      пособия, компенсации и иные социальные 
      выплаты гражданам, кроме публичных 
      нормативных обязательств</t>
  </si>
  <si>
    <t>2211</t>
  </si>
  <si>
    <t xml:space="preserve">    выплата стипендий</t>
  </si>
  <si>
    <t>2220</t>
  </si>
  <si>
    <t xml:space="preserve">    на премирование физических лиц за 
    достижения в области культуры, искусства, 
    образования, науки и техники, а также на 
    предоставление грантов с целью поддержки 
    проектов в области науки, культуры и 
    искусства</t>
  </si>
  <si>
    <t>2230</t>
  </si>
  <si>
    <t xml:space="preserve">    социальное обеспечение детей-сирот и детей, 
    оставшихся без попечения родителей</t>
  </si>
  <si>
    <t>2240</t>
  </si>
  <si>
    <t xml:space="preserve">  уплата налогов, сборов и иных платежей, всего</t>
  </si>
  <si>
    <t>2300</t>
  </si>
  <si>
    <t xml:space="preserve">   из них:
    налог на имущество организаций и земельный 
    налог</t>
  </si>
  <si>
    <t>2310</t>
  </si>
  <si>
    <t xml:space="preserve">    иные налоги (включаемые в состав расходов) в 
    бюджеты бюджетной системы Российской 
    Федерации, а также государственная пошлина</t>
  </si>
  <si>
    <t>2320</t>
  </si>
  <si>
    <t xml:space="preserve">    уплата штрафов (в том числе 
    административных), пеней, иных платежей</t>
  </si>
  <si>
    <t>2330</t>
  </si>
  <si>
    <t xml:space="preserve">  безвозмездные перечисления организациям и 
  физическим лицам, всего</t>
  </si>
  <si>
    <t>2400</t>
  </si>
  <si>
    <t xml:space="preserve">   из них:
    гранты, предоставляемые другим организациям 
    и физическим лицам</t>
  </si>
  <si>
    <t>2410</t>
  </si>
  <si>
    <t xml:space="preserve">    взносы в международные организации</t>
  </si>
  <si>
    <t>2420</t>
  </si>
  <si>
    <t xml:space="preserve">    платежи в целях обеспечения реализации 
    соглашений с правительствами иностранных 
    государств и международными организациями</t>
  </si>
  <si>
    <t>2430</t>
  </si>
  <si>
    <t xml:space="preserve">  прочие выплаты (кроме выплат на закупку 
  товаров, работ, услуг)</t>
  </si>
  <si>
    <t>2500</t>
  </si>
  <si>
    <t xml:space="preserve">   исполнение судебных актов Российской 
   Федерации и мировых соглашений по 
   возмещению вреда, причиненного в результате 
   деятельности учреждения</t>
  </si>
  <si>
    <t>2520</t>
  </si>
  <si>
    <t xml:space="preserve">  расходы на закупку товаров, работ, услуг, всего</t>
  </si>
  <si>
    <t>2600</t>
  </si>
  <si>
    <t xml:space="preserve">   в том числе: 
    закупку научно-исследовательских и опытно-
    конструкторских работ</t>
  </si>
  <si>
    <t>2610</t>
  </si>
  <si>
    <t xml:space="preserve">    закупку товаров, работ, услуг в целях 
    капитального ремонта муниципального 
    имущества</t>
  </si>
  <si>
    <t>2630</t>
  </si>
  <si>
    <t xml:space="preserve">  прочую закупку товаров, работ и услуг, всего</t>
  </si>
  <si>
    <t>2640</t>
  </si>
  <si>
    <t xml:space="preserve">  капитальные вложения в объекты 
  муниципальной собственности, всего</t>
  </si>
  <si>
    <t>2650</t>
  </si>
  <si>
    <t xml:space="preserve">   в том числе:
    приобретение объектов недвижимого 
    имущества муниципальными учреждениями</t>
  </si>
  <si>
    <t>2651</t>
  </si>
  <si>
    <t xml:space="preserve">    строительство (реконструкция) объектов 
    недвижимого имущества муниципальными 
    учреждениями</t>
  </si>
  <si>
    <t>2652</t>
  </si>
  <si>
    <t>Выплаты, уменьшающие доход, всего</t>
  </si>
  <si>
    <t>3000</t>
  </si>
  <si>
    <t xml:space="preserve"> в том числе:
  налог на прибыль</t>
  </si>
  <si>
    <t>3010</t>
  </si>
  <si>
    <t xml:space="preserve">  налог на добавленную стоимость</t>
  </si>
  <si>
    <t>3020</t>
  </si>
  <si>
    <t xml:space="preserve">  прочие налоги, уменьшающие доход</t>
  </si>
  <si>
    <t>3030</t>
  </si>
  <si>
    <t>Прочие выплаты, всего</t>
  </si>
  <si>
    <t>4000</t>
  </si>
  <si>
    <t xml:space="preserve"> из них: 
  возврат в бюджет средств субсидии</t>
  </si>
  <si>
    <t>4010</t>
  </si>
  <si>
    <t>Раздел 2. Сведения по выплатам на закупки товаров, работ, услуг</t>
  </si>
  <si>
    <t>N п/п</t>
  </si>
  <si>
    <t>Коды строк</t>
  </si>
  <si>
    <t>Год начала закупки</t>
  </si>
  <si>
    <t>1.</t>
  </si>
  <si>
    <t>Выплаты на закупку товаров, работ, услуг, всего</t>
  </si>
  <si>
    <t>1.1.</t>
  </si>
  <si>
    <t>1.2.</t>
  </si>
  <si>
    <t>1.3.</t>
  </si>
  <si>
    <t xml:space="preserve">     в том числе: 
      в соответствии с Федеральным законом № 44-ФЗ</t>
  </si>
  <si>
    <t xml:space="preserve">      в соответствии с Федеральным законом № 223-ФЗ</t>
  </si>
  <si>
    <t>1.4.</t>
  </si>
  <si>
    <t>1.4.1.</t>
  </si>
  <si>
    <t>1.4.1.1.</t>
  </si>
  <si>
    <t>1.4.1.2.</t>
  </si>
  <si>
    <t>1.4.2.</t>
  </si>
  <si>
    <t>1.4.2.1.</t>
  </si>
  <si>
    <t>1.4.2.2.</t>
  </si>
  <si>
    <t>1.4.3.</t>
  </si>
  <si>
    <t>1.4.4.</t>
  </si>
  <si>
    <t xml:space="preserve">    за счет прочих источников финансового обеспечения</t>
  </si>
  <si>
    <t>1.4.4.1.</t>
  </si>
  <si>
    <t>1.4.4.2.</t>
  </si>
  <si>
    <t>2.</t>
  </si>
  <si>
    <t>3.</t>
  </si>
  <si>
    <t>Руководитель финансово-экономической службы</t>
  </si>
  <si>
    <t xml:space="preserve">(должность)  </t>
  </si>
  <si>
    <t xml:space="preserve"> (подпись)  </t>
  </si>
  <si>
    <t>(расшифровка подписи)</t>
  </si>
  <si>
    <t>Исполнитель</t>
  </si>
  <si>
    <t xml:space="preserve">(должность)   </t>
  </si>
  <si>
    <t xml:space="preserve">(фамилия, инициалы)   </t>
  </si>
  <si>
    <t xml:space="preserve"> (телефон)</t>
  </si>
  <si>
    <t>КФО</t>
  </si>
  <si>
    <t>КОСГУ</t>
  </si>
  <si>
    <t>Примечание</t>
  </si>
  <si>
    <t>Заместитель начальника управления образования</t>
  </si>
  <si>
    <t>дата утверждения (согласования) может быть позже даты подписания, но в 1с план заносится той датой, которой</t>
  </si>
  <si>
    <t>утвержден (согласован)</t>
  </si>
  <si>
    <t>на 2020 г. и плановый период 2021 и 2022 годов</t>
  </si>
  <si>
    <t>дата подписания плана</t>
  </si>
  <si>
    <t>управление образования</t>
  </si>
  <si>
    <t>администрации города Кемерово</t>
  </si>
  <si>
    <t>Учреждение</t>
  </si>
  <si>
    <t>2,4,5,6</t>
  </si>
  <si>
    <t>указываются планируемые суммы остатков средств на начало и на конец планируемого года (на этапе формирования проекта Плана), фактические остатки средств указываются при внесении изменений в утвержденный План после завершения отчетного финансового года</t>
  </si>
  <si>
    <t>Аренда</t>
  </si>
  <si>
    <t>Субсидия на финансовое обеспечение выполнения муниципального задания МЗ (131)</t>
  </si>
  <si>
    <t xml:space="preserve">    поступления от оказания услуг (выполнения 
    работ) на платной основе и от иной 
    приносящей доход деятельности</t>
  </si>
  <si>
    <t>1220</t>
  </si>
  <si>
    <t>131,134,135</t>
  </si>
  <si>
    <t>Род.плата, платные услуги (131), Питание сотрудников (134), Возмещение коммунальных услуг (135)</t>
  </si>
  <si>
    <t>141, 143</t>
  </si>
  <si>
    <t>Возмещение ущерба, пеня за нарушение условий контракта (141), пеня за несвоевр.оплату арендной платы (141), возм. комм.услуг (141), возмещение стоимости гос.пошлины (141), страховое возмещение по договору (143)</t>
  </si>
  <si>
    <t xml:space="preserve">   в том числе:
    поступления от оказания услуг (выполнения 
    работ) на платной основе и от иной 
    приносящей доход деятельности</t>
  </si>
  <si>
    <t>1410</t>
  </si>
  <si>
    <t>ДРП</t>
  </si>
  <si>
    <t>152, 162</t>
  </si>
  <si>
    <t>Интернет, кап.ремонт, муниципальная стипендия, акция1сентября, теневые навесы, ГПН, лагеря дневного пребывания</t>
  </si>
  <si>
    <t>1910</t>
  </si>
  <si>
    <t>Возмещение (кража)</t>
  </si>
  <si>
    <t>1920</t>
  </si>
  <si>
    <t>442, 446</t>
  </si>
  <si>
    <t>Недостача (продукты питания) (442), Сдача металлолома, макулатуры и пр (446)</t>
  </si>
  <si>
    <t>2,4,5</t>
  </si>
  <si>
    <t>Все прочие поступления, в т.ч. поступления в рамках внутренних расчетов (от головного учреждения, обособленного подразделения, филиала)</t>
  </si>
  <si>
    <t>Из строки 1980 выделяем возврат дебиторской задолженности прошлых лет</t>
  </si>
  <si>
    <t xml:space="preserve">     из них по источнику финансового обеспечения:
      субсидии на финансовое обеспечение 
      выполнения муниципального задания 
      за счет средств бюджета публично-правового 
      образования, создавшего учреждение</t>
  </si>
  <si>
    <t>2111</t>
  </si>
  <si>
    <t>211, 266</t>
  </si>
  <si>
    <t>Заработная плата (211), 3 дн. б/л (266)</t>
  </si>
  <si>
    <t xml:space="preserve">      поступления от оказания услуг (выполнения 
      работ) на платной основе и от иной 
      приносящей доход деятельности</t>
  </si>
  <si>
    <t>2112</t>
  </si>
  <si>
    <t xml:space="preserve">      целевые субсидии</t>
  </si>
  <si>
    <t>2113</t>
  </si>
  <si>
    <t>2121</t>
  </si>
  <si>
    <t>226, 266</t>
  </si>
  <si>
    <t>Командировочные расходы (проживание, проезд, суточные) (226), Выплата выход.пособия работникам учреждения при их увольнении не связанном с ликвидацией либо реорганизацией уч-я (266), Пособие до 3-х лет, Возмещение расходов на мед.осмотр при трудоустройстве</t>
  </si>
  <si>
    <t>2122</t>
  </si>
  <si>
    <t>2131</t>
  </si>
  <si>
    <t>Компенсация учащимся расходов на питание и проезд, при направлении их на соревнования, иные выпл.спортсм.привлекаем.для участия в спортив.мероприят, без заключ.с ними трудовых догов.или догов.ГПХ.</t>
  </si>
  <si>
    <t>2132</t>
  </si>
  <si>
    <t xml:space="preserve">       из них по источнику финансового 
       обеспечения:
        субсидии на финансовое обеспечение 
        выполнения муниципального задания 
        за счет средств бюджета публично-правового 
        образования, создавшего учреждение</t>
  </si>
  <si>
    <t>Начисления на выплаты по оплате труда (213)</t>
  </si>
  <si>
    <t xml:space="preserve">        поступления от оказания услуг (выполнения 
        работ) на платной основе и от иной 
        приносящей доход деятельности</t>
  </si>
  <si>
    <t xml:space="preserve">        целевые субсидии</t>
  </si>
  <si>
    <t>225,226,345, 346</t>
  </si>
  <si>
    <t>Обеспечение мер, направленных на сокращение производственного травматизма и профессиональных заболеваний работников (225,226), приобретение спецодежды (345,346)</t>
  </si>
  <si>
    <t>264, 266</t>
  </si>
  <si>
    <t>Расходы на выплату 3 дн. б/л уволенным работникам в течение 30 к.дн после расторжения трудового договора (264), Расходы на выплату пособия при сокращении (266)</t>
  </si>
  <si>
    <t>264,266, 296</t>
  </si>
  <si>
    <t>Расходы на выплату 3 дн. б/л уволенным работникам в течение 30 к.дн после расторжения трудового договора (264), Расходы на выплату пособия при сокращении (266), Расходы на выплату МП неработающим сотрудникам (296), Расходы на выплату МП членам семьи сотрудника (264)</t>
  </si>
  <si>
    <t xml:space="preserve">    приобретение товаров, работ, услуг в пользу 
    граждан в целях их социального обеспечения</t>
  </si>
  <si>
    <t>2212</t>
  </si>
  <si>
    <t xml:space="preserve">     из них по источнику финансового обеспечения:
      целевые субсидии</t>
  </si>
  <si>
    <t>345, 346</t>
  </si>
  <si>
    <t>Акция 1ое сентября</t>
  </si>
  <si>
    <t>2221</t>
  </si>
  <si>
    <t>Муниципальная стипендия</t>
  </si>
  <si>
    <t>нет</t>
  </si>
  <si>
    <t>2311</t>
  </si>
  <si>
    <t>Налог на имущество, Земельный налог</t>
  </si>
  <si>
    <t>2312</t>
  </si>
  <si>
    <t>2321</t>
  </si>
  <si>
    <t>Госуд.пошлина, Транспортный налог</t>
  </si>
  <si>
    <t>2322</t>
  </si>
  <si>
    <t>2331</t>
  </si>
  <si>
    <t>292, 293, 295</t>
  </si>
  <si>
    <t>Пени (НДФЛ, Страховые взносы, Налог на имущество, землю) (292), Пени (несвоевременная оплата услуг по договорам) (293), Административные штрафы (295)</t>
  </si>
  <si>
    <t>2332</t>
  </si>
  <si>
    <t xml:space="preserve">    из них по источнику финансового обеспечения:
     субсидии на финансовое обеспечение 
     выполнения муниципального задания 
     за счет средств бюджета публично-правового 
     образования, создавшего учреждение</t>
  </si>
  <si>
    <t>2521</t>
  </si>
  <si>
    <t>291, 296</t>
  </si>
  <si>
    <t>Возмещение судебных расходов (Госпошлины) (291), Административный штраф</t>
  </si>
  <si>
    <t xml:space="preserve">     поступления от оказания услуг (выполнения 
     работ) на платной основе и от иной 
     приносящей доход деятельности</t>
  </si>
  <si>
    <t>2522</t>
  </si>
  <si>
    <t>2611</t>
  </si>
  <si>
    <t>2612</t>
  </si>
  <si>
    <t>2613</t>
  </si>
  <si>
    <t>2631</t>
  </si>
  <si>
    <t>222, 224, 225, 226, 228, 310, 344, 346, 352, 353</t>
  </si>
  <si>
    <t xml:space="preserve">   из них по источнику финансового обеспечения:
    субсидии на финансовое обеспечение 
    выполнения муниципального задания 
    за счет средств бюджета публично-правового 
    образования, создавшего учреждение</t>
  </si>
  <si>
    <t>2641</t>
  </si>
  <si>
    <t xml:space="preserve">       из них:
        оплата работ, услуг</t>
  </si>
  <si>
    <t xml:space="preserve">        увеличение стоимости основных средств</t>
  </si>
  <si>
    <t xml:space="preserve">        увеличение стоимости материальных запасов</t>
  </si>
  <si>
    <t>2642</t>
  </si>
  <si>
    <t xml:space="preserve">    целевые субсидии</t>
  </si>
  <si>
    <t xml:space="preserve">     из них по источнику финансового обеспечения:
      субсидии на осуществление 
      капитальных вложений</t>
  </si>
  <si>
    <t>Указывается с минусом</t>
  </si>
  <si>
    <t>Все прочие выплаты, в т.ч. выбытия в рамках внутренних расчетов (головному учреждению, обособленному подразделению, филиалу)</t>
  </si>
  <si>
    <t>Из строки 4000 выделяем возврат в бюджет средств субсидии</t>
  </si>
  <si>
    <t>до начала текущего года</t>
  </si>
  <si>
    <t>в текущем году, первом, втором году планового периода, за пределами планового периода</t>
  </si>
  <si>
    <t>44-фз</t>
  </si>
  <si>
    <t>ПГ 
в текущем году, первом, втором году планового периода, за пределами планового периода</t>
  </si>
  <si>
    <t xml:space="preserve"> в том числе по году начала закупки:
  текущий финансовый год</t>
  </si>
  <si>
    <t xml:space="preserve">  первый год планового периода</t>
  </si>
  <si>
    <t xml:space="preserve">  второй год планового периода</t>
  </si>
  <si>
    <t>проверка</t>
  </si>
  <si>
    <t>26300, 26400</t>
  </si>
  <si>
    <t>Утверждено плановых назначений</t>
  </si>
  <si>
    <t>НЗ/ТР/ГПН</t>
  </si>
  <si>
    <t>ЭКР</t>
  </si>
  <si>
    <t>КВР</t>
  </si>
  <si>
    <t>Всего утверждено плановых назначений (Выбытия), руб.</t>
  </si>
  <si>
    <t>Утверждено (Поступления), руб.</t>
  </si>
  <si>
    <t>Остатки на ЛС, руб.</t>
  </si>
  <si>
    <t>ИТОГО МЗ</t>
  </si>
  <si>
    <t>МЗ</t>
  </si>
  <si>
    <t>Местный бюджет</t>
  </si>
  <si>
    <t xml:space="preserve"> - заработная плата</t>
  </si>
  <si>
    <t>011</t>
  </si>
  <si>
    <t>111</t>
  </si>
  <si>
    <t>211</t>
  </si>
  <si>
    <t xml:space="preserve"> - 3 дн б/л за счет работодателя</t>
  </si>
  <si>
    <t>266</t>
  </si>
  <si>
    <t xml:space="preserve"> - пособие по уходу за ребенком</t>
  </si>
  <si>
    <t>НЗ</t>
  </si>
  <si>
    <t>999</t>
  </si>
  <si>
    <t>112</t>
  </si>
  <si>
    <t xml:space="preserve"> - предварительный мед.осмотр (возм.расх.)</t>
  </si>
  <si>
    <t>226</t>
  </si>
  <si>
    <t xml:space="preserve"> - выходное пособие</t>
  </si>
  <si>
    <t xml:space="preserve"> - начисления на оплату труда</t>
  </si>
  <si>
    <t>013</t>
  </si>
  <si>
    <t>119</t>
  </si>
  <si>
    <t>213</t>
  </si>
  <si>
    <t xml:space="preserve"> - услуги связи, всего:</t>
  </si>
  <si>
    <t>244</t>
  </si>
  <si>
    <t>221</t>
  </si>
  <si>
    <t xml:space="preserve">   в том числе:
    - услуги связи (без интернета)</t>
  </si>
  <si>
    <t>021</t>
  </si>
  <si>
    <t xml:space="preserve">    - интернет </t>
  </si>
  <si>
    <t xml:space="preserve"> - транспортные расходы</t>
  </si>
  <si>
    <t>222</t>
  </si>
  <si>
    <t>023</t>
  </si>
  <si>
    <t>223</t>
  </si>
  <si>
    <t>923</t>
  </si>
  <si>
    <t xml:space="preserve"> - арендная плата </t>
  </si>
  <si>
    <t>224</t>
  </si>
  <si>
    <t xml:space="preserve"> - услуги по содержанию имущества, всего:</t>
  </si>
  <si>
    <t>225</t>
  </si>
  <si>
    <t xml:space="preserve">   в том числе:
    - дезинфекция</t>
  </si>
  <si>
    <t>022</t>
  </si>
  <si>
    <t xml:space="preserve">    - замеры параметров электрических сетей</t>
  </si>
  <si>
    <t>ТР</t>
  </si>
  <si>
    <t xml:space="preserve">    - обслуживание тепловых завес, систем кондиционирования и вентиляции</t>
  </si>
  <si>
    <t>025</t>
  </si>
  <si>
    <t xml:space="preserve">    - наружное освещение</t>
  </si>
  <si>
    <t xml:space="preserve">    - сервисное обслуживание пункта пог.регулир.</t>
  </si>
  <si>
    <t xml:space="preserve">    - то пожарно-охранной сигнализации</t>
  </si>
  <si>
    <t xml:space="preserve">    - поверка электросчетчиков</t>
  </si>
  <si>
    <t xml:space="preserve">    - вывоз ТКО</t>
  </si>
  <si>
    <t xml:space="preserve"> - прочие работы, услуги, всего:</t>
  </si>
  <si>
    <t xml:space="preserve">    - медосмотр</t>
  </si>
  <si>
    <t>026</t>
  </si>
  <si>
    <t xml:space="preserve">    - демеркуризация</t>
  </si>
  <si>
    <t xml:space="preserve">    - специальная оценка условий труда</t>
  </si>
  <si>
    <t xml:space="preserve">    - программное обеспечение и сопровождение</t>
  </si>
  <si>
    <t xml:space="preserve">    - консультант +</t>
  </si>
  <si>
    <t xml:space="preserve">    - курсы повышения квалификации</t>
  </si>
  <si>
    <t xml:space="preserve"> - прочие налоги и сборы</t>
  </si>
  <si>
    <t>991</t>
  </si>
  <si>
    <t>852</t>
  </si>
  <si>
    <t>291</t>
  </si>
  <si>
    <t xml:space="preserve"> - пеня</t>
  </si>
  <si>
    <t>853</t>
  </si>
  <si>
    <t>293</t>
  </si>
  <si>
    <t>091</t>
  </si>
  <si>
    <t>851</t>
  </si>
  <si>
    <t xml:space="preserve"> - налог на землю</t>
  </si>
  <si>
    <t xml:space="preserve"> - увеличение стоимости основных средств</t>
  </si>
  <si>
    <t>310</t>
  </si>
  <si>
    <t xml:space="preserve"> - увеличение стоимости материальных запасов, всего:</t>
  </si>
  <si>
    <t>340</t>
  </si>
  <si>
    <t>343</t>
  </si>
  <si>
    <t>346</t>
  </si>
  <si>
    <t>Профилактика терроризма</t>
  </si>
  <si>
    <t xml:space="preserve"> - обслуживание кнопки тревожной сигнализации</t>
  </si>
  <si>
    <t xml:space="preserve"> - обслуживание системы охранного телевидения</t>
  </si>
  <si>
    <t xml:space="preserve"> - вневедомственная охрана</t>
  </si>
  <si>
    <t>Энергосбережение</t>
  </si>
  <si>
    <t xml:space="preserve"> - то приборов коммерческого учета</t>
  </si>
  <si>
    <t>ИТОГО ИЦ</t>
  </si>
  <si>
    <t>ИЦ</t>
  </si>
  <si>
    <t>ГПН</t>
  </si>
  <si>
    <t xml:space="preserve"> - испытание гидранта</t>
  </si>
  <si>
    <t xml:space="preserve"> - перезарядка огнетушителей</t>
  </si>
  <si>
    <t>КАП</t>
  </si>
  <si>
    <t>оплата работ, услуг</t>
  </si>
  <si>
    <t>Остаток средств на конец года, всего</t>
  </si>
  <si>
    <t>должно быть 0,00</t>
  </si>
  <si>
    <t>Приносящая доход деятельность</t>
  </si>
  <si>
    <t>Остаток средств на начало текущего финансового года, всего</t>
  </si>
  <si>
    <t xml:space="preserve">  платные услуги</t>
  </si>
  <si>
    <t xml:space="preserve">  доходы от аренды</t>
  </si>
  <si>
    <t xml:space="preserve">  питание сотрудников</t>
  </si>
  <si>
    <t xml:space="preserve">  родительская плата на питание</t>
  </si>
  <si>
    <t xml:space="preserve">  возмещение коммунальных услуг</t>
  </si>
  <si>
    <t xml:space="preserve">  добровольные родительские пожертвования</t>
  </si>
  <si>
    <t xml:space="preserve">  от выбытий материальных запасов</t>
  </si>
  <si>
    <t xml:space="preserve">  доходы от штрафов, пеней, иных сумм принудительного изъятия</t>
  </si>
  <si>
    <t>Поступления, всего</t>
  </si>
  <si>
    <t>442 
446</t>
  </si>
  <si>
    <t>141 
143</t>
  </si>
  <si>
    <t>Налог на прибыль, всего</t>
  </si>
  <si>
    <t>НДС, всего</t>
  </si>
  <si>
    <t>911 0000 00000 00000 000 241</t>
  </si>
  <si>
    <r>
      <rPr>
        <b/>
        <sz val="11"/>
        <color rgb="FF0000CC"/>
        <rFont val="Times New Roman"/>
        <family val="1"/>
        <charset val="204"/>
      </rPr>
      <t>Реестр лимитов</t>
    </r>
    <r>
      <rPr>
        <sz val="11"/>
        <color theme="1"/>
        <rFont val="Times New Roman"/>
        <family val="1"/>
        <charset val="204"/>
      </rPr>
      <t xml:space="preserve"> (2600, 26000)</t>
    </r>
  </si>
  <si>
    <t>по контрактам (договорам), заключенным до начала года</t>
  </si>
  <si>
    <t>по контрактам (договорам), планируемым к заключению в соответствующем финансовом году</t>
  </si>
  <si>
    <t>без применения норм 44-фз, 223-фз (26100)</t>
  </si>
  <si>
    <t>с учетом требований 44-фз, 223-фз (26300)</t>
  </si>
  <si>
    <t>без применения норм 44-фз, 223-фз (26200)</t>
  </si>
  <si>
    <t>с учетом требований 44-фз, 223-фз (26400)</t>
  </si>
  <si>
    <t>223-фз</t>
  </si>
  <si>
    <r>
      <t xml:space="preserve">44-фз (26411,26421,26430,26451) </t>
    </r>
    <r>
      <rPr>
        <b/>
        <sz val="11"/>
        <color rgb="FF0000CC"/>
        <rFont val="Times New Roman"/>
        <family val="1"/>
        <charset val="204"/>
      </rPr>
      <t>ПГЗ</t>
    </r>
  </si>
  <si>
    <t>223-фз (26412,26422,26452)</t>
  </si>
  <si>
    <t>ПФХД</t>
  </si>
  <si>
    <t>Отклонение</t>
  </si>
  <si>
    <t>антитеррор А60</t>
  </si>
  <si>
    <t>Энергосбер А67</t>
  </si>
  <si>
    <t>ОП</t>
  </si>
  <si>
    <t>Субвенция</t>
  </si>
  <si>
    <t>911 0701 09100 71800 611 241</t>
  </si>
  <si>
    <t xml:space="preserve"> - программное обеспечение и сопровождение, в т.ч.</t>
  </si>
  <si>
    <t xml:space="preserve">      Доксель</t>
  </si>
  <si>
    <t xml:space="preserve">      АИС</t>
  </si>
  <si>
    <t xml:space="preserve">      програмное обеспечение</t>
  </si>
  <si>
    <t>-курсы повышения квалификации</t>
  </si>
  <si>
    <t xml:space="preserve"> - увеличение стоимости материальных запасов</t>
  </si>
  <si>
    <t>203+207+2071+208+210+236</t>
  </si>
  <si>
    <t>201</t>
  </si>
  <si>
    <t xml:space="preserve"> - налог на имущество,землю</t>
  </si>
  <si>
    <t xml:space="preserve">    - поверка счетчиков хол.воды</t>
  </si>
  <si>
    <t xml:space="preserve">    - мониторинг охранно-пожарной сигнализации</t>
  </si>
  <si>
    <t xml:space="preserve">    - санитарно-гигиеническое обучение</t>
  </si>
  <si>
    <t xml:space="preserve"> - продукты питания с КП</t>
  </si>
  <si>
    <t xml:space="preserve"> - овощи</t>
  </si>
  <si>
    <t xml:space="preserve"> - моющие для туб.групп</t>
  </si>
  <si>
    <t xml:space="preserve"> - питание семейных групп</t>
  </si>
  <si>
    <t xml:space="preserve"> - коммунальные расходы</t>
  </si>
  <si>
    <t xml:space="preserve"> - поверка счетчиков</t>
  </si>
  <si>
    <t xml:space="preserve">   -перезарядка огнетушителей</t>
  </si>
  <si>
    <t xml:space="preserve">   -огнезащитная обработка</t>
  </si>
  <si>
    <t xml:space="preserve">   -профдизенфекция</t>
  </si>
  <si>
    <t xml:space="preserve">   -поверка мед. оборудования</t>
  </si>
  <si>
    <t xml:space="preserve">   -ремонт приборов учета (счетчиков)</t>
  </si>
  <si>
    <t xml:space="preserve">   -текущий ремонт зданий</t>
  </si>
  <si>
    <t xml:space="preserve">   -текущий ремонт оборудования</t>
  </si>
  <si>
    <t xml:space="preserve">   -заправка катриджей</t>
  </si>
  <si>
    <t xml:space="preserve">   -ремонт мед.оборудования</t>
  </si>
  <si>
    <t xml:space="preserve">   -ремонт весов</t>
  </si>
  <si>
    <t xml:space="preserve">   -испытания диэлектрических перчаток</t>
  </si>
  <si>
    <t xml:space="preserve">   -обрезка деревьев, вывоз мусора</t>
  </si>
  <si>
    <t xml:space="preserve">  -оплата услуг банка</t>
  </si>
  <si>
    <t xml:space="preserve">  -монтажные работы</t>
  </si>
  <si>
    <t xml:space="preserve">  -обслуживание программы питания СБИС</t>
  </si>
  <si>
    <t xml:space="preserve">  -лабораторные исследования</t>
  </si>
  <si>
    <t xml:space="preserve">  -програмное обеспечение</t>
  </si>
  <si>
    <t xml:space="preserve">  -курсы повышения квалификации</t>
  </si>
  <si>
    <t xml:space="preserve">  -подписка</t>
  </si>
  <si>
    <t xml:space="preserve">  -вневедомственная охрана, ЧОП</t>
  </si>
  <si>
    <t xml:space="preserve">  -медосмотр</t>
  </si>
  <si>
    <t xml:space="preserve">  -специальная оценка условий труда</t>
  </si>
  <si>
    <t xml:space="preserve">  -санитарно-эпидемиологические услуги</t>
  </si>
  <si>
    <t xml:space="preserve">  -демеркуризация</t>
  </si>
  <si>
    <t xml:space="preserve">  -санитарно-гигиеническое обучение</t>
  </si>
  <si>
    <t xml:space="preserve">   -командировочные расходы и оплата проживания</t>
  </si>
  <si>
    <t xml:space="preserve">  -культурно-массовые мероприятия</t>
  </si>
  <si>
    <t xml:space="preserve"> -мебель</t>
  </si>
  <si>
    <t xml:space="preserve"> -электрооборудование</t>
  </si>
  <si>
    <t xml:space="preserve"> -медицинское оборудование</t>
  </si>
  <si>
    <t xml:space="preserve"> -спортивное оборудование</t>
  </si>
  <si>
    <t xml:space="preserve"> -компьютерная техника</t>
  </si>
  <si>
    <t xml:space="preserve"> -хозяйственный инвентарь</t>
  </si>
  <si>
    <t xml:space="preserve"> -медицинский инвентарь</t>
  </si>
  <si>
    <t xml:space="preserve"> -спортивный инвентарь</t>
  </si>
  <si>
    <t xml:space="preserve"> -наглядные пособия и экспонаты</t>
  </si>
  <si>
    <t xml:space="preserve"> -игрушки</t>
  </si>
  <si>
    <t xml:space="preserve"> -ковровые изделия</t>
  </si>
  <si>
    <t xml:space="preserve"> -игровое оборудование</t>
  </si>
  <si>
    <t xml:space="preserve"> -прочие основные средства</t>
  </si>
  <si>
    <t xml:space="preserve"> -продукты питания</t>
  </si>
  <si>
    <t xml:space="preserve"> -канцелярские принадлежности</t>
  </si>
  <si>
    <t xml:space="preserve"> -хозяйственные товары</t>
  </si>
  <si>
    <t xml:space="preserve"> -моющие средства</t>
  </si>
  <si>
    <t xml:space="preserve"> -медикаменты</t>
  </si>
  <si>
    <t xml:space="preserve"> -строительные материалы</t>
  </si>
  <si>
    <t xml:space="preserve"> -посуда</t>
  </si>
  <si>
    <t xml:space="preserve"> -мягкий инвентарь</t>
  </si>
  <si>
    <t xml:space="preserve"> -ткань</t>
  </si>
  <si>
    <t>-запасные части</t>
  </si>
  <si>
    <t xml:space="preserve"> -прочие материальные запасы</t>
  </si>
  <si>
    <t>292</t>
  </si>
  <si>
    <t>добровольные родительские пожертвования</t>
  </si>
  <si>
    <t xml:space="preserve">   -оплата бухгалтерских услуг по учету дополнительных фин.операций</t>
  </si>
  <si>
    <t xml:space="preserve">   -оплата услуг банка</t>
  </si>
  <si>
    <t xml:space="preserve">   -оплата по гражданско-правовым договорам</t>
  </si>
  <si>
    <t xml:space="preserve">   -курсы повышения квалификации</t>
  </si>
  <si>
    <t xml:space="preserve">   -вознаграждение по агентскому договору</t>
  </si>
  <si>
    <t xml:space="preserve">    -вознаграждение по агентскому договору</t>
  </si>
  <si>
    <t xml:space="preserve">   -продукты питания</t>
  </si>
  <si>
    <t xml:space="preserve">   -овощи</t>
  </si>
  <si>
    <t xml:space="preserve">  платные услуги </t>
  </si>
  <si>
    <t>расходы на питание с родительской платы</t>
  </si>
  <si>
    <t>расходы на питание сотрудников</t>
  </si>
  <si>
    <t xml:space="preserve"> в том числе:
</t>
  </si>
  <si>
    <t xml:space="preserve">  - поверка счетчиков</t>
  </si>
  <si>
    <t xml:space="preserve">  -вознагрождение по агентскому договору</t>
  </si>
  <si>
    <t xml:space="preserve">  -вознаграждение по агентскому договору</t>
  </si>
  <si>
    <t xml:space="preserve">  _вывоз ТКО</t>
  </si>
  <si>
    <t>иные цели</t>
  </si>
  <si>
    <t>внебюджет</t>
  </si>
  <si>
    <t>МЗ местный</t>
  </si>
  <si>
    <t xml:space="preserve"> МЗ субвенция</t>
  </si>
  <si>
    <t>/     77-36-18</t>
  </si>
  <si>
    <t>/   Жилина Е.В.</t>
  </si>
  <si>
    <t xml:space="preserve">                              О.В. Гусева</t>
  </si>
  <si>
    <t>УО - неизменно</t>
  </si>
  <si>
    <t>Учреждение - у всех одинаковое</t>
  </si>
  <si>
    <t xml:space="preserve">    - содержание мест общего пользования </t>
  </si>
  <si>
    <t xml:space="preserve">    - переосвидетельствование и ТО лифта</t>
  </si>
  <si>
    <t xml:space="preserve">    - исследование воды  бассейне и ТО установки бассейна</t>
  </si>
  <si>
    <t xml:space="preserve">    - поверка манометров и медоборудования</t>
  </si>
  <si>
    <t xml:space="preserve">    - поверка счетчиков гор..воды</t>
  </si>
  <si>
    <t xml:space="preserve">   - поверка счетчиков учета тепла</t>
  </si>
  <si>
    <t xml:space="preserve">   - поверка весов</t>
  </si>
  <si>
    <t xml:space="preserve"> - огнезащитная обработка</t>
  </si>
  <si>
    <t>остатки</t>
  </si>
  <si>
    <t>Дата подписания плана</t>
  </si>
  <si>
    <t>Декабрь</t>
  </si>
  <si>
    <t>ст.226</t>
  </si>
  <si>
    <t>ст.221</t>
  </si>
  <si>
    <t>ст.222</t>
  </si>
  <si>
    <t>ст.223</t>
  </si>
  <si>
    <t>ст.225</t>
  </si>
  <si>
    <t>ИТОГО</t>
  </si>
  <si>
    <t xml:space="preserve">антитеррор </t>
  </si>
  <si>
    <t>счетчики тепла</t>
  </si>
  <si>
    <t>стр.250</t>
  </si>
  <si>
    <t>Договора на 2021г.</t>
  </si>
  <si>
    <t xml:space="preserve">                 О.В. Гусева</t>
  </si>
  <si>
    <t>(подпись) (расшифровка подписи)</t>
  </si>
  <si>
    <t>«_09_»_января_ 2020_ г.</t>
  </si>
  <si>
    <t xml:space="preserve">План финансово-хозяйственной деятельности на </t>
  </si>
  <si>
    <t>« 09 » января 2020 г.</t>
  </si>
  <si>
    <t>УО</t>
  </si>
  <si>
    <t>Показатели по поступлениям и выплатам учреждения (подразделения)</t>
  </si>
  <si>
    <t>на "___" _________20___г.</t>
  </si>
  <si>
    <t>Код по бюджетной классификации Российской Федерации</t>
  </si>
  <si>
    <t>Объем финансового обеспечения, руб. (с точностью до двух знаков после запятой - 0,00)</t>
  </si>
  <si>
    <t>всего</t>
  </si>
  <si>
    <t>в том числе:</t>
  </si>
  <si>
    <t>субсидия на финансовое обеспечение выполнения муниципального задания из бюджета города Кемерово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</si>
  <si>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</si>
  <si>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</si>
  <si>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</si>
  <si>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</si>
  <si>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</si>
  <si>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2020г.</t>
  </si>
  <si>
    <t>Поступления от доходов, всего:</t>
  </si>
  <si>
    <t>Из доходов убрать НДС и прибыль</t>
  </si>
  <si>
    <t xml:space="preserve"> в том числе:                                               </t>
  </si>
  <si>
    <t xml:space="preserve">  доходы от собственности</t>
  </si>
  <si>
    <t xml:space="preserve">  доходы от оказания услуг, работ</t>
  </si>
  <si>
    <t xml:space="preserve">  безвозмездные поступления от наднациональных организаций, правительств иностранных государств, международных финансовых организаций</t>
  </si>
  <si>
    <t xml:space="preserve">  иные субсидии, предоставленные из бюджета</t>
  </si>
  <si>
    <t xml:space="preserve">  прочие доходы</t>
  </si>
  <si>
    <t xml:space="preserve">  доходы от операций с активами</t>
  </si>
  <si>
    <t xml:space="preserve">   в том числе:                                                 </t>
  </si>
  <si>
    <t xml:space="preserve">    от выбытий основных средств</t>
  </si>
  <si>
    <t xml:space="preserve">    от выбытий материальных запасов</t>
  </si>
  <si>
    <t>Выплаты по расходам, всего:</t>
  </si>
  <si>
    <t xml:space="preserve"> в том числе на:                                        </t>
  </si>
  <si>
    <t xml:space="preserve">  выплаты персоналу, всего:</t>
  </si>
  <si>
    <t xml:space="preserve">   из них:                                                     </t>
  </si>
  <si>
    <t xml:space="preserve">    оплата труда и начисления на выплаты по оплате труда</t>
  </si>
  <si>
    <t xml:space="preserve">     в том числе:                                                                          </t>
  </si>
  <si>
    <t>211.1</t>
  </si>
  <si>
    <t xml:space="preserve">      фонд оплаты труда учреждений</t>
  </si>
  <si>
    <t xml:space="preserve">      иные выплаты персоналу учреждений, за исключением фонда оплаты труда</t>
  </si>
  <si>
    <t>211.2</t>
  </si>
  <si>
    <t xml:space="preserve">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</si>
  <si>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211.3</t>
  </si>
  <si>
    <t xml:space="preserve">      взносы по обязательному социальному страхованию на выплаты по оплате труда работников и иные выплаты работникам учреждений</t>
  </si>
  <si>
    <t>211.4</t>
  </si>
  <si>
    <t xml:space="preserve">  социальные и иные выплаты населению, всего:</t>
  </si>
  <si>
    <t xml:space="preserve">   из них:                                                          </t>
  </si>
  <si>
    <t xml:space="preserve">    пособия, компенсации и иные социальные выплаты гражданам, кроме публичных нормативных обязательств</t>
  </si>
  <si>
    <t xml:space="preserve">    приобретение товаров, работ, услуг в пользу граждан в целях их социального обеспечения</t>
  </si>
  <si>
    <t xml:space="preserve">    стипендии </t>
  </si>
  <si>
    <t xml:space="preserve">    премии и гранты</t>
  </si>
  <si>
    <t xml:space="preserve">  уплату налогов, сборов и иных платежей, всего  </t>
  </si>
  <si>
    <t xml:space="preserve">   из них:                                                         </t>
  </si>
  <si>
    <t xml:space="preserve">    уплата налога на имущество организаций и земельного налога</t>
  </si>
  <si>
    <t xml:space="preserve">    уплата прочих налогов, сборов</t>
  </si>
  <si>
    <t xml:space="preserve">    уплата иных платежей</t>
  </si>
  <si>
    <t xml:space="preserve">  прочие расходы (кроме расходов на закупку товаров, работ, услуг)</t>
  </si>
  <si>
    <t xml:space="preserve">    научно-исследовательские и опытно-конструкторские работы</t>
  </si>
  <si>
    <t xml:space="preserve">    закупка товаров, работ, услуг в целях капитального ремонта государственного (муниципального) имущества</t>
  </si>
  <si>
    <t xml:space="preserve">    прочая закупка товаров, работ и услуг для обеспечения государственных (муниципальных) нужд</t>
  </si>
  <si>
    <t xml:space="preserve">  исполнение судебных актов, всего</t>
  </si>
  <si>
    <t xml:space="preserve">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</si>
  <si>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   в том числе</t>
  </si>
  <si>
    <t xml:space="preserve">    приобретение объектов недвижимого 
    имущества муниципальными учреждениями</t>
  </si>
  <si>
    <t>Поступление финансовых активов, всего:</t>
  </si>
  <si>
    <t xml:space="preserve"> из них:                                                          </t>
  </si>
  <si>
    <t xml:space="preserve">  увеличение остатков средств</t>
  </si>
  <si>
    <t xml:space="preserve">  прочие поступления </t>
  </si>
  <si>
    <t>Выбытие финансовых активов, всего:</t>
  </si>
  <si>
    <t xml:space="preserve">  уменьшение остатков средств</t>
  </si>
  <si>
    <t xml:space="preserve">  прочие выбытия </t>
  </si>
  <si>
    <t>Остаток средств на начало года</t>
  </si>
  <si>
    <t>Остаток средств на конец года</t>
  </si>
  <si>
    <t xml:space="preserve">Показатели выплат по расходам </t>
  </si>
  <si>
    <t>на закупку товаров, работ, услуг учреждения (подразделения)</t>
  </si>
  <si>
    <t>Сумма выплат по расходам на закупку товаров, работ и услуг, руб. (с точностью до двух знаков после запятой - 0,00)</t>
  </si>
  <si>
    <t>всего на закупки</t>
  </si>
  <si>
    <t>в соответствии с Федеральным законом от 5 апреля 2013 г. №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</si>
  <si>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№ 223-ФЗ "О закупках товаров, работ, услуг отдельными видами юридических лиц"</t>
  </si>
  <si>
    <t>на 2020 г. очередной финансовый год</t>
  </si>
  <si>
    <t>на 2021 г.             1-ый год планового периода</t>
  </si>
  <si>
    <t>на 2022 г.            2-ой год планового периода</t>
  </si>
  <si>
    <t>Выплаты по расходам на закупку товаров, работ, услуг, всего:</t>
  </si>
  <si>
    <t xml:space="preserve"> в том числе: </t>
  </si>
  <si>
    <t xml:space="preserve">  на оплату контрактов, заключенных до начала очередного финансового года:</t>
  </si>
  <si>
    <t xml:space="preserve">  на закупку товаров, работ, услуг по году начала закупки:</t>
  </si>
  <si>
    <t xml:space="preserve">   на закупку товаров, работ, услуг</t>
  </si>
  <si>
    <t>Формулой только общая сумма, по источникам нужно разбить</t>
  </si>
  <si>
    <t>2021г.</t>
  </si>
  <si>
    <t>общая</t>
  </si>
  <si>
    <t>продукты питания 402</t>
  </si>
  <si>
    <t>ГП договора 2071</t>
  </si>
  <si>
    <t>% банка 201, 207, 2071, 215</t>
  </si>
  <si>
    <t>бух.услуги 207, 2071</t>
  </si>
  <si>
    <t>продукты питания 215</t>
  </si>
  <si>
    <t>питание сотр.218</t>
  </si>
  <si>
    <t>итого 250</t>
  </si>
  <si>
    <t>вознаграж-дение КП 215</t>
  </si>
  <si>
    <t>СТРОКА 250 лист информ.</t>
  </si>
  <si>
    <t>декабри+договора лист информ.</t>
  </si>
  <si>
    <t>отнимаютcя договора+декабрь+стр.250</t>
  </si>
  <si>
    <t>Петрова Н.В.</t>
  </si>
  <si>
    <t>за минусом НДС</t>
  </si>
  <si>
    <t>НДС</t>
  </si>
  <si>
    <t>323У0906</t>
  </si>
  <si>
    <t>Муниципальное бюджетное дошкольное  образовательное учреждение №155 "Центр развития ребенка - детский сад"</t>
  </si>
  <si>
    <t>МБДОУ 155</t>
  </si>
  <si>
    <t>добавляем НДС</t>
  </si>
  <si>
    <t>911 0701 09100 29110 611 241</t>
  </si>
  <si>
    <t>911 0701 23000 29110 611 241</t>
  </si>
  <si>
    <t>911 0701 21000 29110 611 241</t>
  </si>
  <si>
    <t xml:space="preserve"> - кредиторка</t>
  </si>
  <si>
    <t>1420</t>
  </si>
  <si>
    <t>- запасные части</t>
  </si>
  <si>
    <t>Наименование показателя   155</t>
  </si>
  <si>
    <t xml:space="preserve">План финансово-хозяйственной деятельности </t>
  </si>
  <si>
    <t>(подпись)               (расшифровка подписи)</t>
  </si>
  <si>
    <t>расходы на хознужды с родительской платы (203, 203.1)</t>
  </si>
  <si>
    <t xml:space="preserve"> -моющие средства (203)</t>
  </si>
  <si>
    <t xml:space="preserve"> -моющие средства (203.1)</t>
  </si>
  <si>
    <t xml:space="preserve"> -прочие основные средства (203)</t>
  </si>
  <si>
    <t xml:space="preserve"> -прочие основные средства (203.1)</t>
  </si>
  <si>
    <t xml:space="preserve"> - услуги, работы для целей кап.вложений</t>
  </si>
  <si>
    <t>228</t>
  </si>
  <si>
    <t>225,226</t>
  </si>
  <si>
    <t xml:space="preserve"> - услуги, работы для целей кап.вложений (видеодомофоны)</t>
  </si>
  <si>
    <t>в зел.табл</t>
  </si>
  <si>
    <t>«      »  июня  2020 г.</t>
  </si>
  <si>
    <t xml:space="preserve">    .06.2020</t>
  </si>
  <si>
    <t>Заведующая МБДОУ №155</t>
  </si>
  <si>
    <t xml:space="preserve">                              О.Ф.Григорьева</t>
  </si>
  <si>
    <t xml:space="preserve">Дополнительное соглашение к Соглашению о порядке и условиях </t>
  </si>
  <si>
    <t xml:space="preserve">          предоставления субсидии на иные цели из бюджета города Кемерово</t>
  </si>
  <si>
    <t>31.01.2020г.</t>
  </si>
  <si>
    <t>г.Кемерово</t>
  </si>
  <si>
    <t xml:space="preserve">от </t>
  </si>
  <si>
    <t>1. В соответствии с Соглашением от</t>
  </si>
  <si>
    <t xml:space="preserve"> "О порядке и условиях предоставления </t>
  </si>
  <si>
    <t xml:space="preserve">субсидии на иные цели из бюджета города Кемерово" пункт 2.1.2 читать в новой редакции: </t>
  </si>
  <si>
    <t xml:space="preserve">"2.1.2.  Осуществлять финансирование Субсидии в соответствии с Перечнем целевых субсидий на 2020 год и Сведениями об операциях с целевыми субсидиями, предоставленными </t>
  </si>
  <si>
    <t>муниципальному учреждению на 2020 год в сумме</t>
  </si>
  <si>
    <t>рублей, в том числе:</t>
  </si>
  <si>
    <t>Адреса и банковские реквизиты Сторон</t>
  </si>
  <si>
    <t>"Учреждение"</t>
  </si>
  <si>
    <t>"Управление"</t>
  </si>
  <si>
    <t>Управление образования администрации города Кемерово                                                                   650099, пр.Советский, 54                                  ИНН/КПП 4207023869/420502016                             р/с 40204810500000000050</t>
  </si>
  <si>
    <t>УФК по Кемеровской области (управление образования администрации города Кемерово)</t>
  </si>
  <si>
    <t>ОТДЕЛЕНИЕ КЕМЕРОВО Г. КЕМЕРОВО                БИК 043207001</t>
  </si>
  <si>
    <t>л/сч 03393056500</t>
  </si>
  <si>
    <t>р/с 40701810800001000016</t>
  </si>
  <si>
    <t>тел. (факс) 36-46-19</t>
  </si>
  <si>
    <t>ОТДЕЛЕНИЕ КЕМЕРОВО Г. КЕМЕРОВО</t>
  </si>
  <si>
    <t>БИК 043207001</t>
  </si>
  <si>
    <t>Начальник управления образования</t>
  </si>
  <si>
    <t>Дашковская Н.Ю.</t>
  </si>
  <si>
    <t>М.П.</t>
  </si>
  <si>
    <t>№67/1</t>
  </si>
  <si>
    <t xml:space="preserve">(шестьсот девяносто рублей 00 копеек) рублей по постановлению от 24.01.2020г. </t>
  </si>
  <si>
    <t>(две тысячи четыреста рублей 00 копеек) рублей по постановлению от 29.05.2020г.</t>
  </si>
  <si>
    <t>Муниципальное бюджетное дошкольное образовательное учреждение № 155 "Центр развития ребенка - детский сад" (МБДОУ №155 "Центр развития ребенка - детский сад")</t>
  </si>
  <si>
    <t>Юридический адрес: 650025, Кемеровская обл, Кемерово г, Рукавишникова ул, дом № 1а</t>
  </si>
  <si>
    <t>Фактический адрес: 650025, Кемеровская обл, Кемерово г, Рукавишникова ул, дом № 1а</t>
  </si>
  <si>
    <t>ИНН 4207058290 /  КПП 420501001</t>
  </si>
  <si>
    <t xml:space="preserve">л/сч. 21396У09060                   </t>
  </si>
  <si>
    <t>тел. (факс) (3842) 364460</t>
  </si>
  <si>
    <t xml:space="preserve">Заведующая МБДОУ № 155 "Центр развития ребенка - детский сад"			</t>
  </si>
  <si>
    <t>Григорьева О.Ф.</t>
  </si>
  <si>
    <t>№ 126 (кредиторская задолженность);</t>
  </si>
  <si>
    <t>220</t>
  </si>
  <si>
    <t>услуги связи (203)</t>
  </si>
  <si>
    <t>услуги связи (203.1)</t>
  </si>
  <si>
    <t>услуги по содержанию имущества (203)</t>
  </si>
  <si>
    <t>услуги по содержанию имущества (203.1)</t>
  </si>
  <si>
    <t>прочие работы, услуги (203)</t>
  </si>
  <si>
    <t>прочие работы, услуги (203.1)</t>
  </si>
  <si>
    <t>услуги, работы для целей кап.вложений (203)</t>
  </si>
  <si>
    <t>услуги, работы для целей кап.вложений (203.1)</t>
  </si>
  <si>
    <t>всё что приобрело учреждение с 203 203.1</t>
  </si>
  <si>
    <t xml:space="preserve">          предоставления субсидии на финансовое обеспечение выполнения муниципального задания</t>
  </si>
  <si>
    <t xml:space="preserve">субсидии на финансовое обеспечение выполнения муниципального задания" пункт 5.1 читать в новой редакции: </t>
  </si>
  <si>
    <t>"5.1. Для выполнения по настоящему Соглашению "Управление" перечисляет "Учреждению"</t>
  </si>
  <si>
    <t>субсидию в размере</t>
  </si>
  <si>
    <t>№67</t>
  </si>
  <si>
    <t xml:space="preserve">
    поступления от оказания услуг (выполнения 
    работ) на платной основе и от иной 
    приносящей доход деятельности</t>
  </si>
  <si>
    <t>1430</t>
  </si>
  <si>
    <t xml:space="preserve">   в том числе: 
  </t>
  </si>
  <si>
    <t>2632</t>
  </si>
  <si>
    <t>закупку товаров, работ, услуг в целях капитального ремонта муниципального имущества</t>
  </si>
  <si>
    <t>243</t>
  </si>
  <si>
    <t>капитальный ремонт помещения</t>
  </si>
  <si>
    <t>4.1</t>
  </si>
  <si>
    <t>1.3.1</t>
  </si>
  <si>
    <t xml:space="preserve">       из них:
        </t>
  </si>
  <si>
    <t>26310.1</t>
  </si>
  <si>
    <t>1.3.2</t>
  </si>
  <si>
    <t>26421.1</t>
  </si>
  <si>
    <t>26430.1</t>
  </si>
  <si>
    <t>26451.1</t>
  </si>
  <si>
    <t xml:space="preserve"> в том числе: 
  по контрактам (договорам), заключенным до начала текущего финансового года без применения норм Федерального закона от 05.04.2013 № 44-ФЗ «О контрактной системе в сфере закупок товаров, работ, услуг для обеспечения государственных и муниципальных нужд» (далее - Федеральный закон № 44-ФЗ) и Федерального закона от 18.07.2011 № 223-ФЗ «О закупках товаров, работ, услуг отдельными видами юридических лиц» (далее - Федеральный закон № 223-ФЗ)</t>
  </si>
  <si>
    <t xml:space="preserve">  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</si>
  <si>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 xml:space="preserve">  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</si>
  <si>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 xml:space="preserve">  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
  № 223-ФЗ</t>
  </si>
  <si>
    <t xml:space="preserve">   в том числе: 
    за счет субсидий, предоставляемых на финансовое обеспечение выполнения муниципального задания</t>
  </si>
  <si>
    <t xml:space="preserve">    за счет субсидий, предоставляемых в соответствии с абзацем вторым пункта 1 статьи 78.1 Бюджетного кодекса Российской Федерации</t>
  </si>
  <si>
    <t xml:space="preserve">    за счет субсидий, предоставляемых на осуществление капитальных вложений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</si>
  <si>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</si>
  <si>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</si>
  <si>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№ 1485 (проверка,перезарядка и приобретение огнетушителей);</t>
  </si>
  <si>
    <t xml:space="preserve">№ 2087 (награждение муниципальных образовательных учреждений, занявших первое место </t>
  </si>
  <si>
    <t>в своей группе в результате рейтингования).".</t>
  </si>
  <si>
    <t xml:space="preserve"> - приобретение огнетушителей, материально-техническое обеспечение (рейтингование)</t>
  </si>
  <si>
    <t xml:space="preserve">(сто пятьдесят тысяч рублей 00 копеек) рублей по постановлению от 27.07.2020г. </t>
  </si>
  <si>
    <t xml:space="preserve">       Управление образования администрация города Кемерово от имени администрации города Кемерово в лице начальника управления образования администрации города Кемерово Дашковской Натальи Юрьевны, действующей на основании доверенности от 31.12.2019г. № 01-32/2713, именуемое в дальнейшем «Управление» с одной стороны и муниципальное бюджетное дошкольное образовательное учреждение № 155 "Центр развития ребенка - детский сад", в лице заведующей Григорьевой Ольги Федоровны, действующей на основании Устава, именуемое в дальнейшем «Учреждение» с другой стороны, вместе именуемые Сторонами, заключили настоящее Дополнительное соглашение.</t>
  </si>
  <si>
    <t>в 2020</t>
  </si>
  <si>
    <t>декабри бюджет</t>
  </si>
  <si>
    <t>декабри внебюджет</t>
  </si>
  <si>
    <t xml:space="preserve"> - дебеторка</t>
  </si>
  <si>
    <t>на 2021 г. и плановый период 2022 и 2023 годов</t>
  </si>
  <si>
    <t>тех обс охранно-пож сигн-ии</t>
  </si>
  <si>
    <t>мониторинг охранно-пож. сигнализации</t>
  </si>
  <si>
    <t>ГО ЧС</t>
  </si>
  <si>
    <t>на 2021 г. текущий финансовый год</t>
  </si>
  <si>
    <t>на 2022 г. первый год планового периода</t>
  </si>
  <si>
    <t>на 2023 г. второй год планового периода</t>
  </si>
  <si>
    <t>2022г.</t>
  </si>
  <si>
    <t>Договора на 2022г.</t>
  </si>
  <si>
    <t>в 2021</t>
  </si>
  <si>
    <t>ст.224</t>
  </si>
  <si>
    <t>тепло+ХВС+Э/Э из лимитов</t>
  </si>
  <si>
    <t>в 2021г.на 2022г.отнимаем только 250стр.</t>
  </si>
  <si>
    <t>отнимаются договора+декабрь+стр.250</t>
  </si>
  <si>
    <t xml:space="preserve">    - аварийно-техническое обслуживание зданий (ПЖРЭТ)</t>
  </si>
  <si>
    <t xml:space="preserve">   -дезинфекционные работы, профдезинфекция</t>
  </si>
  <si>
    <t>296</t>
  </si>
  <si>
    <t>НДС 2021</t>
  </si>
  <si>
    <t>911 0701 20300 29110 611 241</t>
  </si>
  <si>
    <t xml:space="preserve"> - коммунальные расходы </t>
  </si>
  <si>
    <t>оплата отопления и технических нужд</t>
  </si>
  <si>
    <t>247</t>
  </si>
  <si>
    <t>оплата потребления электроэнергии</t>
  </si>
  <si>
    <t>оплата водоснабжения</t>
  </si>
  <si>
    <t>244/247</t>
  </si>
  <si>
    <t xml:space="preserve">    закупку энергетических ресурсов</t>
  </si>
  <si>
    <t>2660</t>
  </si>
  <si>
    <t>2661</t>
  </si>
  <si>
    <t>2662</t>
  </si>
  <si>
    <t>2663</t>
  </si>
  <si>
    <t xml:space="preserve">    - аттестация ответственного за эксплуатацию лифта</t>
  </si>
  <si>
    <t>227</t>
  </si>
  <si>
    <t xml:space="preserve"> - страхование лифтового оборудования</t>
  </si>
  <si>
    <t>911 0701 09100 29110 612 999</t>
  </si>
  <si>
    <t xml:space="preserve"> - 00500011</t>
  </si>
  <si>
    <t xml:space="preserve"> - 00500012</t>
  </si>
  <si>
    <t xml:space="preserve"> - 00500017</t>
  </si>
  <si>
    <t xml:space="preserve"> - 00500018</t>
  </si>
  <si>
    <t xml:space="preserve"> - 00500020</t>
  </si>
  <si>
    <t xml:space="preserve"> - 00500039</t>
  </si>
  <si>
    <t xml:space="preserve"> - 0390002193 (стажировка)</t>
  </si>
  <si>
    <t xml:space="preserve">                                        О.В. Гусева</t>
  </si>
  <si>
    <t xml:space="preserve">                                        О.Ф.Григорьева</t>
  </si>
  <si>
    <t>заместитель начальника</t>
  </si>
  <si>
    <t>главный специалист</t>
  </si>
  <si>
    <t xml:space="preserve"> -продукты питания (сок)</t>
  </si>
  <si>
    <t>11.01.2021г.</t>
  </si>
  <si>
    <t>Платежные реквизиты Сторон</t>
  </si>
  <si>
    <t>Управление образования администрации города Кемерово</t>
  </si>
  <si>
    <t>Место нахождения: 650991, г. Кемерово, пр.Советский, 54</t>
  </si>
  <si>
    <t>ИНН/КПП 4207023869/ 420502016</t>
  </si>
  <si>
    <t>ОГРН 1034205011610</t>
  </si>
  <si>
    <t>ОКТМО 32701000001</t>
  </si>
  <si>
    <t>ОКТМО 32701000</t>
  </si>
  <si>
    <t>Платежные реквизиты:</t>
  </si>
  <si>
    <t>р/с 03231643327010003901</t>
  </si>
  <si>
    <t>р/с 03234643327010003901</t>
  </si>
  <si>
    <t>ГОРФУ Г.КЕМЕРОВО (управление образования администрации города Кемерово) ОТДЕЛЕНИЕ КЕМЕРОВО БАНКА РОССИИ//УФК по Кемеровской области-Кузбассу г Кемерово</t>
  </si>
  <si>
    <t>БИК 013207212</t>
  </si>
  <si>
    <t>Подписи Сторон</t>
  </si>
  <si>
    <t>_________________________ Н.Ю.Дашковская</t>
  </si>
  <si>
    <t>(подпись)</t>
  </si>
  <si>
    <t>(ФИО)</t>
  </si>
  <si>
    <t xml:space="preserve">          Управление образования администрация города Кемерово от имени администрации города Кемерово в лице начальника управления образования администрации г. Кемерово Дашковской Натальи Юрьевны, действующей на основании доверенности от 28.12.2020г. № 01-32/2993, именуемое в дальнейшем «Управление» с одной стороны и муниципальное бюджетное дошкольное образовательное учреждение № 155 "Центр развития ребенка - детский сад" , в лице   заведующей Григорьевой Ольги Федоровны, действующей на основании Устава, именуемое в дальнейшем «Учреждение» с другой стороны, вместе именуемые Сторонами, заключили настоящее Дополнительное соглашение.</t>
  </si>
  <si>
    <t>Место нахождения: 650025, г.Кемерово, ул.Рукавишникова, 1А</t>
  </si>
  <si>
    <t>МБДОУ № 155 "Центр развития ребенка - детский сад"</t>
  </si>
  <si>
    <t>ИНН/КПП 4207058290/ 420501001</t>
  </si>
  <si>
    <t>ОГРН 1024200685310</t>
  </si>
  <si>
    <t>ГОРФУ Г.КЕМЕРОВО (МБДОУ № 155 "Центр развития ребенка - детский сад") ОТДЕЛЕНИЕ КЕМЕРОВО БАНКА РОССИИ//УФК по Кемеровской области-Кузбассу г Кемерово</t>
  </si>
  <si>
    <t>л/сч 20396У09060</t>
  </si>
  <si>
    <t>_________________________ О.Ф.Григорьева</t>
  </si>
  <si>
    <t>«  28  » мая 2021 г.</t>
  </si>
  <si>
    <t>911 0701 20300 29110 612 999</t>
  </si>
  <si>
    <t xml:space="preserve"> - 00500041</t>
  </si>
  <si>
    <t>911 0701 23000 29110 612 999</t>
  </si>
  <si>
    <t xml:space="preserve"> - 00500042</t>
  </si>
  <si>
    <t>(Четырнадцать миллионов шестнадцать тысяч четыреста</t>
  </si>
  <si>
    <t>пятьдесят рублей 23 копейки) рублей.".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</si>
</sst>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44" x14ac:knownFonts="1">
    <font>
      <sz val="11"/>
      <color theme="1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sz val="10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FFFF00"/>
      <name val="Times New Roman"/>
      <family val="1"/>
      <charset val="204"/>
    </font>
    <font>
      <sz val="11"/>
      <name val="Times New Roman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0000CC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rgb="FF86002D"/>
      <name val="Times New Roman"/>
      <family val="1"/>
      <charset val="204"/>
    </font>
    <font>
      <sz val="11"/>
      <color rgb="FF8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rgb="FF0000CC"/>
      <name val="Times New Roman"/>
      <family val="2"/>
      <charset val="204"/>
    </font>
    <font>
      <sz val="10"/>
      <name val="Arial Cyr"/>
      <charset val="204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name val="Times New Roman"/>
      <family val="2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86002D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2"/>
      <charset val="204"/>
    </font>
    <font>
      <b/>
      <sz val="10"/>
      <name val="Times New Roman"/>
      <family val="2"/>
      <charset val="204"/>
    </font>
    <font>
      <sz val="18"/>
      <color rgb="FFFF0000"/>
      <name val="Times New Roman"/>
      <family val="2"/>
      <charset val="204"/>
    </font>
    <font>
      <b/>
      <sz val="9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0"/>
      <color rgb="FFFF000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b/>
      <sz val="13"/>
      <name val="Times New Roman"/>
      <family val="2"/>
    </font>
    <font>
      <b/>
      <sz val="13"/>
      <name val="Times New Roman"/>
      <family val="1"/>
      <charset val="204"/>
    </font>
    <font>
      <sz val="12"/>
      <name val="Times New Roman"/>
      <family val="2"/>
    </font>
    <font>
      <sz val="12"/>
      <color theme="1"/>
      <name val="Times New Roman"/>
      <family val="2"/>
      <charset val="204"/>
    </font>
    <font>
      <b/>
      <sz val="12"/>
      <name val="Times New Roman"/>
      <family val="2"/>
    </font>
    <font>
      <sz val="10"/>
      <color rgb="FFFF0000"/>
      <name val="Arial Cyr"/>
      <charset val="204"/>
    </font>
    <font>
      <sz val="10.5"/>
      <color theme="1"/>
      <name val="Times New Roman"/>
      <family val="2"/>
      <charset val="204"/>
    </font>
    <font>
      <sz val="9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17" fillId="0" borderId="0"/>
    <xf numFmtId="0" fontId="18" fillId="0" borderId="0"/>
    <xf numFmtId="0" fontId="8" fillId="0" borderId="0"/>
    <xf numFmtId="0" fontId="8" fillId="0" borderId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8" fillId="0" borderId="0"/>
  </cellStyleXfs>
  <cellXfs count="657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Fill="1" applyBorder="1"/>
    <xf numFmtId="0" fontId="0" fillId="0" borderId="0" xfId="0" applyFill="1" applyBorder="1" applyAlignment="1"/>
    <xf numFmtId="0" fontId="2" fillId="0" borderId="0" xfId="0" applyFont="1" applyFill="1" applyBorder="1" applyAlignment="1">
      <alignment wrapText="1"/>
    </xf>
    <xf numFmtId="0" fontId="3" fillId="0" borderId="0" xfId="0" applyFont="1" applyAlignment="1"/>
    <xf numFmtId="0" fontId="0" fillId="0" borderId="0" xfId="0" applyAlignment="1">
      <alignment wrapText="1"/>
    </xf>
    <xf numFmtId="0" fontId="2" fillId="0" borderId="0" xfId="0" applyFont="1" applyFill="1" applyBorder="1" applyAlignment="1"/>
    <xf numFmtId="0" fontId="4" fillId="0" borderId="0" xfId="0" applyFont="1" applyFill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right" wrapText="1"/>
    </xf>
    <xf numFmtId="0" fontId="0" fillId="0" borderId="1" xfId="0" applyFill="1" applyBorder="1"/>
    <xf numFmtId="0" fontId="0" fillId="0" borderId="3" xfId="0" applyFill="1" applyBorder="1" applyAlignment="1">
      <alignment wrapText="1"/>
    </xf>
    <xf numFmtId="0" fontId="0" fillId="0" borderId="3" xfId="0" applyFill="1" applyBorder="1"/>
    <xf numFmtId="4" fontId="0" fillId="0" borderId="3" xfId="0" applyNumberFormat="1" applyFill="1" applyBorder="1"/>
    <xf numFmtId="0" fontId="3" fillId="0" borderId="0" xfId="0" applyFont="1" applyFill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/>
    </xf>
    <xf numFmtId="4" fontId="3" fillId="0" borderId="3" xfId="0" applyNumberFormat="1" applyFont="1" applyFill="1" applyBorder="1"/>
    <xf numFmtId="0" fontId="3" fillId="0" borderId="0" xfId="0" applyFont="1"/>
    <xf numFmtId="0" fontId="0" fillId="0" borderId="3" xfId="0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0" fontId="5" fillId="0" borderId="0" xfId="0" applyFont="1"/>
    <xf numFmtId="0" fontId="3" fillId="0" borderId="0" xfId="0" applyFont="1" applyAlignment="1">
      <alignment horizontal="right"/>
    </xf>
    <xf numFmtId="3" fontId="0" fillId="0" borderId="0" xfId="0" applyNumberFormat="1" applyFill="1" applyBorder="1" applyAlignment="1">
      <alignment horizontal="right"/>
    </xf>
    <xf numFmtId="164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/>
    <xf numFmtId="4" fontId="0" fillId="0" borderId="3" xfId="0" applyNumberFormat="1" applyFill="1" applyBorder="1" applyAlignment="1">
      <alignment horizontal="center"/>
    </xf>
    <xf numFmtId="3" fontId="3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 wrapText="1"/>
    </xf>
    <xf numFmtId="3" fontId="0" fillId="0" borderId="0" xfId="0" applyNumberFormat="1" applyAlignment="1">
      <alignment horizontal="left"/>
    </xf>
    <xf numFmtId="0" fontId="6" fillId="0" borderId="3" xfId="0" applyFont="1" applyFill="1" applyBorder="1" applyAlignment="1">
      <alignment wrapText="1"/>
    </xf>
    <xf numFmtId="4" fontId="3" fillId="0" borderId="3" xfId="0" applyNumberFormat="1" applyFont="1" applyFill="1" applyBorder="1" applyAlignment="1">
      <alignment horizontal="center"/>
    </xf>
    <xf numFmtId="4" fontId="0" fillId="0" borderId="0" xfId="0" applyNumberFormat="1" applyFill="1"/>
    <xf numFmtId="0" fontId="3" fillId="0" borderId="0" xfId="1" applyFont="1"/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7" fillId="0" borderId="0" xfId="1" applyFont="1" applyFill="1"/>
    <xf numFmtId="4" fontId="7" fillId="0" borderId="0" xfId="1" applyNumberFormat="1" applyFont="1" applyFill="1"/>
    <xf numFmtId="0" fontId="7" fillId="0" borderId="0" xfId="1" applyFont="1"/>
    <xf numFmtId="0" fontId="10" fillId="0" borderId="3" xfId="1" applyFont="1" applyFill="1" applyBorder="1"/>
    <xf numFmtId="0" fontId="9" fillId="0" borderId="0" xfId="1" applyFont="1"/>
    <xf numFmtId="4" fontId="9" fillId="0" borderId="3" xfId="1" applyNumberFormat="1" applyFont="1" applyFill="1" applyBorder="1" applyAlignment="1">
      <alignment horizontal="right"/>
    </xf>
    <xf numFmtId="1" fontId="9" fillId="0" borderId="6" xfId="1" applyNumberFormat="1" applyFont="1" applyBorder="1" applyAlignment="1">
      <alignment horizontal="center" wrapText="1"/>
    </xf>
    <xf numFmtId="1" fontId="9" fillId="0" borderId="6" xfId="1" applyNumberFormat="1" applyFont="1" applyFill="1" applyBorder="1" applyAlignment="1">
      <alignment horizontal="center" wrapText="1"/>
    </xf>
    <xf numFmtId="49" fontId="3" fillId="0" borderId="3" xfId="1" applyNumberFormat="1" applyFont="1" applyFill="1" applyBorder="1" applyAlignment="1">
      <alignment horizontal="center"/>
    </xf>
    <xf numFmtId="49" fontId="3" fillId="0" borderId="3" xfId="1" applyNumberFormat="1" applyFont="1" applyFill="1" applyBorder="1"/>
    <xf numFmtId="4" fontId="3" fillId="0" borderId="3" xfId="1" applyNumberFormat="1" applyFont="1" applyFill="1" applyBorder="1" applyAlignment="1">
      <alignment horizontal="right"/>
    </xf>
    <xf numFmtId="0" fontId="3" fillId="0" borderId="3" xfId="1" applyFont="1" applyBorder="1"/>
    <xf numFmtId="49" fontId="11" fillId="0" borderId="3" xfId="2" applyNumberFormat="1" applyFont="1" applyFill="1" applyBorder="1" applyAlignment="1">
      <alignment horizontal="left" vertical="center" wrapText="1"/>
    </xf>
    <xf numFmtId="49" fontId="11" fillId="0" borderId="3" xfId="2" applyNumberFormat="1" applyFont="1" applyFill="1" applyBorder="1" applyAlignment="1">
      <alignment horizontal="center" vertical="center" wrapText="1"/>
    </xf>
    <xf numFmtId="4" fontId="11" fillId="0" borderId="3" xfId="1" applyNumberFormat="1" applyFont="1" applyFill="1" applyBorder="1" applyAlignment="1">
      <alignment horizontal="right"/>
    </xf>
    <xf numFmtId="4" fontId="11" fillId="0" borderId="5" xfId="3" applyNumberFormat="1" applyFont="1" applyFill="1" applyBorder="1" applyAlignment="1">
      <alignment horizontal="right" wrapText="1"/>
    </xf>
    <xf numFmtId="4" fontId="7" fillId="0" borderId="0" xfId="1" applyNumberFormat="1" applyFont="1"/>
    <xf numFmtId="4" fontId="13" fillId="0" borderId="0" xfId="1" applyNumberFormat="1" applyFont="1"/>
    <xf numFmtId="0" fontId="13" fillId="0" borderId="0" xfId="1" applyFont="1"/>
    <xf numFmtId="49" fontId="10" fillId="0" borderId="3" xfId="2" applyNumberFormat="1" applyFont="1" applyFill="1" applyBorder="1" applyAlignment="1">
      <alignment horizontal="left" vertical="center" wrapText="1"/>
    </xf>
    <xf numFmtId="49" fontId="10" fillId="0" borderId="3" xfId="2" applyNumberFormat="1" applyFont="1" applyFill="1" applyBorder="1" applyAlignment="1">
      <alignment horizontal="center" vertical="center" wrapText="1"/>
    </xf>
    <xf numFmtId="4" fontId="10" fillId="0" borderId="3" xfId="1" applyNumberFormat="1" applyFont="1" applyFill="1" applyBorder="1" applyAlignment="1">
      <alignment horizontal="right"/>
    </xf>
    <xf numFmtId="4" fontId="10" fillId="0" borderId="5" xfId="3" applyNumberFormat="1" applyFont="1" applyFill="1" applyBorder="1" applyAlignment="1">
      <alignment horizontal="right" wrapText="1"/>
    </xf>
    <xf numFmtId="4" fontId="3" fillId="0" borderId="0" xfId="1" applyNumberFormat="1" applyFont="1"/>
    <xf numFmtId="49" fontId="11" fillId="0" borderId="8" xfId="2" applyNumberFormat="1" applyFont="1" applyFill="1" applyBorder="1" applyAlignment="1">
      <alignment horizontal="left" vertical="center" wrapText="1"/>
    </xf>
    <xf numFmtId="49" fontId="11" fillId="0" borderId="8" xfId="2" applyNumberFormat="1" applyFont="1" applyFill="1" applyBorder="1" applyAlignment="1">
      <alignment horizontal="center" vertical="center" wrapText="1"/>
    </xf>
    <xf numFmtId="0" fontId="14" fillId="0" borderId="0" xfId="1" applyFont="1"/>
    <xf numFmtId="4" fontId="14" fillId="0" borderId="0" xfId="1" applyNumberFormat="1" applyFont="1"/>
    <xf numFmtId="49" fontId="10" fillId="0" borderId="3" xfId="1" applyNumberFormat="1" applyFont="1" applyFill="1" applyBorder="1"/>
    <xf numFmtId="49" fontId="10" fillId="0" borderId="3" xfId="1" applyNumberFormat="1" applyFont="1" applyFill="1" applyBorder="1" applyAlignment="1">
      <alignment horizontal="center"/>
    </xf>
    <xf numFmtId="49" fontId="11" fillId="0" borderId="3" xfId="1" applyNumberFormat="1" applyFont="1" applyFill="1" applyBorder="1" applyAlignment="1">
      <alignment horizontal="center"/>
    </xf>
    <xf numFmtId="49" fontId="11" fillId="0" borderId="3" xfId="1" applyNumberFormat="1" applyFont="1" applyBorder="1"/>
    <xf numFmtId="49" fontId="11" fillId="0" borderId="3" xfId="1" applyNumberFormat="1" applyFont="1" applyFill="1" applyBorder="1"/>
    <xf numFmtId="49" fontId="10" fillId="2" borderId="3" xfId="1" applyNumberFormat="1" applyFont="1" applyFill="1" applyBorder="1"/>
    <xf numFmtId="49" fontId="10" fillId="2" borderId="3" xfId="3" applyNumberFormat="1" applyFont="1" applyFill="1" applyBorder="1" applyAlignment="1">
      <alignment horizontal="left" wrapText="1"/>
    </xf>
    <xf numFmtId="49" fontId="10" fillId="0" borderId="3" xfId="3" applyNumberFormat="1" applyFont="1" applyFill="1" applyBorder="1" applyAlignment="1">
      <alignment horizontal="left" wrapText="1"/>
    </xf>
    <xf numFmtId="49" fontId="10" fillId="0" borderId="11" xfId="2" applyNumberFormat="1" applyFont="1" applyFill="1" applyBorder="1" applyAlignment="1">
      <alignment horizontal="left" vertical="center"/>
    </xf>
    <xf numFmtId="49" fontId="10" fillId="0" borderId="9" xfId="2" applyNumberFormat="1" applyFont="1" applyFill="1" applyBorder="1" applyAlignment="1">
      <alignment horizontal="left" vertical="center"/>
    </xf>
    <xf numFmtId="49" fontId="10" fillId="3" borderId="3" xfId="1" applyNumberFormat="1" applyFont="1" applyFill="1" applyBorder="1"/>
    <xf numFmtId="0" fontId="11" fillId="0" borderId="0" xfId="1" applyFont="1"/>
    <xf numFmtId="0" fontId="11" fillId="0" borderId="0" xfId="1" applyFont="1" applyFill="1"/>
    <xf numFmtId="0" fontId="11" fillId="0" borderId="0" xfId="1" applyFont="1" applyFill="1" applyAlignment="1">
      <alignment horizontal="center"/>
    </xf>
    <xf numFmtId="4" fontId="11" fillId="0" borderId="0" xfId="1" applyNumberFormat="1" applyFont="1" applyFill="1"/>
    <xf numFmtId="0" fontId="7" fillId="0" borderId="0" xfId="1" applyFont="1" applyAlignment="1">
      <alignment horizontal="center"/>
    </xf>
    <xf numFmtId="0" fontId="7" fillId="0" borderId="0" xfId="1" applyFont="1" applyFill="1" applyAlignment="1">
      <alignment horizontal="center"/>
    </xf>
    <xf numFmtId="0" fontId="10" fillId="0" borderId="5" xfId="1" applyFont="1" applyFill="1" applyBorder="1"/>
    <xf numFmtId="1" fontId="11" fillId="0" borderId="3" xfId="1" applyNumberFormat="1" applyFont="1" applyBorder="1" applyAlignment="1">
      <alignment horizontal="center" wrapText="1"/>
    </xf>
    <xf numFmtId="1" fontId="11" fillId="0" borderId="3" xfId="1" applyNumberFormat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/>
    </xf>
    <xf numFmtId="1" fontId="9" fillId="0" borderId="6" xfId="1" applyNumberFormat="1" applyFont="1" applyBorder="1" applyAlignment="1">
      <alignment horizontal="left" wrapText="1"/>
    </xf>
    <xf numFmtId="4" fontId="9" fillId="0" borderId="6" xfId="1" applyNumberFormat="1" applyFont="1" applyFill="1" applyBorder="1" applyAlignment="1">
      <alignment horizontal="right"/>
    </xf>
    <xf numFmtId="1" fontId="11" fillId="0" borderId="6" xfId="1" applyNumberFormat="1" applyFont="1" applyBorder="1" applyAlignment="1">
      <alignment horizontal="left" wrapText="1"/>
    </xf>
    <xf numFmtId="1" fontId="11" fillId="0" borderId="6" xfId="1" applyNumberFormat="1" applyFont="1" applyFill="1" applyBorder="1" applyAlignment="1">
      <alignment horizontal="center" vertical="center"/>
    </xf>
    <xf numFmtId="1" fontId="11" fillId="0" borderId="6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Border="1"/>
    <xf numFmtId="0" fontId="11" fillId="4" borderId="11" xfId="0" applyFont="1" applyFill="1" applyBorder="1" applyAlignment="1">
      <alignment wrapText="1"/>
    </xf>
    <xf numFmtId="0" fontId="11" fillId="4" borderId="3" xfId="0" applyFont="1" applyFill="1" applyBorder="1" applyAlignment="1">
      <alignment wrapText="1"/>
    </xf>
    <xf numFmtId="0" fontId="11" fillId="4" borderId="17" xfId="0" applyFont="1" applyFill="1" applyBorder="1" applyAlignment="1">
      <alignment wrapText="1"/>
    </xf>
    <xf numFmtId="0" fontId="11" fillId="4" borderId="9" xfId="0" applyFont="1" applyFill="1" applyBorder="1" applyAlignment="1">
      <alignment wrapText="1"/>
    </xf>
    <xf numFmtId="0" fontId="11" fillId="4" borderId="8" xfId="0" applyFont="1" applyFill="1" applyBorder="1" applyAlignment="1">
      <alignment wrapText="1"/>
    </xf>
    <xf numFmtId="4" fontId="11" fillId="4" borderId="11" xfId="0" applyNumberFormat="1" applyFont="1" applyFill="1" applyBorder="1"/>
    <xf numFmtId="4" fontId="11" fillId="4" borderId="3" xfId="0" applyNumberFormat="1" applyFont="1" applyFill="1" applyBorder="1"/>
    <xf numFmtId="4" fontId="11" fillId="4" borderId="17" xfId="0" applyNumberFormat="1" applyFont="1" applyFill="1" applyBorder="1"/>
    <xf numFmtId="4" fontId="11" fillId="4" borderId="9" xfId="0" applyNumberFormat="1" applyFont="1" applyFill="1" applyBorder="1"/>
    <xf numFmtId="4" fontId="11" fillId="4" borderId="8" xfId="0" applyNumberFormat="1" applyFont="1" applyFill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9" xfId="0" applyNumberFormat="1" applyBorder="1"/>
    <xf numFmtId="4" fontId="0" fillId="0" borderId="8" xfId="0" applyNumberFormat="1" applyBorder="1"/>
    <xf numFmtId="0" fontId="0" fillId="0" borderId="3" xfId="0" applyBorder="1"/>
    <xf numFmtId="0" fontId="0" fillId="0" borderId="17" xfId="0" applyBorder="1"/>
    <xf numFmtId="0" fontId="0" fillId="0" borderId="9" xfId="0" applyBorder="1"/>
    <xf numFmtId="0" fontId="16" fillId="0" borderId="0" xfId="0" applyFont="1"/>
    <xf numFmtId="4" fontId="16" fillId="0" borderId="0" xfId="0" applyNumberFormat="1" applyFont="1"/>
    <xf numFmtId="4" fontId="0" fillId="0" borderId="0" xfId="0" applyNumberFormat="1"/>
    <xf numFmtId="1" fontId="9" fillId="0" borderId="6" xfId="1" applyNumberFormat="1" applyFont="1" applyFill="1" applyBorder="1" applyAlignment="1">
      <alignment horizontal="center" vertical="center"/>
    </xf>
    <xf numFmtId="49" fontId="0" fillId="0" borderId="0" xfId="0" applyNumberFormat="1"/>
    <xf numFmtId="49" fontId="5" fillId="0" borderId="0" xfId="0" applyNumberFormat="1" applyFont="1"/>
    <xf numFmtId="49" fontId="3" fillId="0" borderId="0" xfId="0" applyNumberFormat="1" applyFont="1"/>
    <xf numFmtId="49" fontId="0" fillId="0" borderId="0" xfId="0" applyNumberFormat="1" applyAlignment="1">
      <alignment wrapText="1"/>
    </xf>
    <xf numFmtId="0" fontId="6" fillId="0" borderId="3" xfId="0" applyFont="1" applyFill="1" applyBorder="1" applyAlignment="1">
      <alignment horizontal="center"/>
    </xf>
    <xf numFmtId="3" fontId="1" fillId="0" borderId="0" xfId="0" applyNumberFormat="1" applyFont="1" applyAlignment="1">
      <alignment horizontal="right"/>
    </xf>
    <xf numFmtId="0" fontId="6" fillId="0" borderId="0" xfId="0" applyFont="1" applyFill="1"/>
    <xf numFmtId="0" fontId="6" fillId="0" borderId="1" xfId="0" applyFont="1" applyFill="1" applyBorder="1"/>
    <xf numFmtId="49" fontId="6" fillId="0" borderId="3" xfId="0" applyNumberFormat="1" applyFont="1" applyFill="1" applyBorder="1" applyAlignment="1">
      <alignment horizontal="center"/>
    </xf>
    <xf numFmtId="49" fontId="21" fillId="0" borderId="3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right" wrapText="1"/>
    </xf>
    <xf numFmtId="49" fontId="7" fillId="0" borderId="3" xfId="2" applyNumberFormat="1" applyFont="1" applyFill="1" applyBorder="1" applyAlignment="1">
      <alignment horizontal="left" vertical="center" wrapText="1"/>
    </xf>
    <xf numFmtId="49" fontId="7" fillId="0" borderId="3" xfId="2" applyNumberFormat="1" applyFont="1" applyFill="1" applyBorder="1" applyAlignment="1">
      <alignment horizontal="center" vertical="center" wrapText="1"/>
    </xf>
    <xf numFmtId="4" fontId="7" fillId="0" borderId="3" xfId="1" applyNumberFormat="1" applyFont="1" applyFill="1" applyBorder="1" applyAlignment="1">
      <alignment horizontal="right"/>
    </xf>
    <xf numFmtId="4" fontId="7" fillId="0" borderId="5" xfId="3" applyNumberFormat="1" applyFont="1" applyFill="1" applyBorder="1" applyAlignment="1">
      <alignment horizontal="right" wrapText="1"/>
    </xf>
    <xf numFmtId="0" fontId="1" fillId="0" borderId="0" xfId="0" applyFont="1"/>
    <xf numFmtId="3" fontId="23" fillId="0" borderId="0" xfId="0" applyNumberFormat="1" applyFont="1" applyAlignment="1">
      <alignment horizontal="right"/>
    </xf>
    <xf numFmtId="49" fontId="10" fillId="0" borderId="8" xfId="2" applyNumberFormat="1" applyFont="1" applyFill="1" applyBorder="1" applyAlignment="1">
      <alignment horizontal="left" vertical="center" wrapText="1"/>
    </xf>
    <xf numFmtId="49" fontId="10" fillId="0" borderId="8" xfId="2" applyNumberFormat="1" applyFont="1" applyFill="1" applyBorder="1" applyAlignment="1">
      <alignment horizontal="center" vertical="center" wrapText="1"/>
    </xf>
    <xf numFmtId="2" fontId="11" fillId="5" borderId="3" xfId="1" applyNumberFormat="1" applyFont="1" applyFill="1" applyBorder="1"/>
    <xf numFmtId="4" fontId="24" fillId="0" borderId="0" xfId="1" applyNumberFormat="1" applyFont="1"/>
    <xf numFmtId="0" fontId="24" fillId="0" borderId="0" xfId="1" applyFont="1"/>
    <xf numFmtId="1" fontId="22" fillId="0" borderId="6" xfId="1" applyNumberFormat="1" applyFont="1" applyBorder="1" applyAlignment="1">
      <alignment horizontal="left" wrapText="1"/>
    </xf>
    <xf numFmtId="4" fontId="0" fillId="0" borderId="18" xfId="0" applyNumberFormat="1" applyBorder="1"/>
    <xf numFmtId="49" fontId="7" fillId="0" borderId="3" xfId="1" applyNumberFormat="1" applyFont="1" applyFill="1" applyBorder="1" applyAlignment="1">
      <alignment wrapText="1"/>
    </xf>
    <xf numFmtId="49" fontId="7" fillId="0" borderId="3" xfId="1" applyNumberFormat="1" applyFont="1" applyFill="1" applyBorder="1" applyAlignment="1">
      <alignment horizontal="center"/>
    </xf>
    <xf numFmtId="49" fontId="7" fillId="0" borderId="3" xfId="1" applyNumberFormat="1" applyFont="1" applyBorder="1"/>
    <xf numFmtId="49" fontId="7" fillId="0" borderId="3" xfId="1" applyNumberFormat="1" applyFont="1" applyFill="1" applyBorder="1"/>
    <xf numFmtId="49" fontId="3" fillId="2" borderId="3" xfId="1" applyNumberFormat="1" applyFont="1" applyFill="1" applyBorder="1"/>
    <xf numFmtId="0" fontId="0" fillId="0" borderId="0" xfId="0" applyFill="1" applyBorder="1" applyAlignment="1">
      <alignment horizontal="right" wrapText="1"/>
    </xf>
    <xf numFmtId="0" fontId="21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49" fontId="22" fillId="0" borderId="3" xfId="1" applyNumberFormat="1" applyFont="1" applyBorder="1" applyAlignment="1">
      <alignment wrapText="1"/>
    </xf>
    <xf numFmtId="0" fontId="0" fillId="0" borderId="0" xfId="0" applyAlignment="1">
      <alignment wrapText="1"/>
    </xf>
    <xf numFmtId="49" fontId="3" fillId="6" borderId="3" xfId="1" applyNumberFormat="1" applyFont="1" applyFill="1" applyBorder="1"/>
    <xf numFmtId="49" fontId="3" fillId="6" borderId="3" xfId="1" applyNumberFormat="1" applyFont="1" applyFill="1" applyBorder="1" applyAlignment="1">
      <alignment horizontal="center"/>
    </xf>
    <xf numFmtId="4" fontId="3" fillId="6" borderId="3" xfId="1" applyNumberFormat="1" applyFont="1" applyFill="1" applyBorder="1" applyAlignment="1">
      <alignment horizontal="right"/>
    </xf>
    <xf numFmtId="1" fontId="9" fillId="6" borderId="6" xfId="1" applyNumberFormat="1" applyFont="1" applyFill="1" applyBorder="1" applyAlignment="1">
      <alignment horizontal="left" wrapText="1"/>
    </xf>
    <xf numFmtId="1" fontId="9" fillId="6" borderId="6" xfId="1" applyNumberFormat="1" applyFont="1" applyFill="1" applyBorder="1" applyAlignment="1">
      <alignment horizontal="center" vertical="center"/>
    </xf>
    <xf numFmtId="4" fontId="9" fillId="6" borderId="3" xfId="1" applyNumberFormat="1" applyFont="1" applyFill="1" applyBorder="1" applyAlignment="1">
      <alignment horizontal="right"/>
    </xf>
    <xf numFmtId="2" fontId="10" fillId="6" borderId="3" xfId="1" applyNumberFormat="1" applyFont="1" applyFill="1" applyBorder="1"/>
    <xf numFmtId="49" fontId="10" fillId="6" borderId="3" xfId="1" applyNumberFormat="1" applyFont="1" applyFill="1" applyBorder="1" applyAlignment="1">
      <alignment horizontal="center"/>
    </xf>
    <xf numFmtId="4" fontId="10" fillId="6" borderId="3" xfId="1" applyNumberFormat="1" applyFont="1" applyFill="1" applyBorder="1" applyAlignment="1">
      <alignment horizontal="right"/>
    </xf>
    <xf numFmtId="49" fontId="10" fillId="6" borderId="3" xfId="2" applyNumberFormat="1" applyFont="1" applyFill="1" applyBorder="1" applyAlignment="1">
      <alignment horizontal="center" vertical="center" wrapText="1"/>
    </xf>
    <xf numFmtId="4" fontId="9" fillId="0" borderId="0" xfId="1" applyNumberFormat="1" applyFont="1"/>
    <xf numFmtId="4" fontId="9" fillId="7" borderId="0" xfId="1" applyNumberFormat="1" applyFont="1" applyFill="1"/>
    <xf numFmtId="0" fontId="0" fillId="0" borderId="0" xfId="0" applyAlignment="1">
      <alignment horizontal="right"/>
    </xf>
    <xf numFmtId="0" fontId="0" fillId="0" borderId="0" xfId="0" applyFill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4" fontId="9" fillId="0" borderId="0" xfId="0" applyNumberFormat="1" applyFont="1" applyFill="1"/>
    <xf numFmtId="0" fontId="3" fillId="0" borderId="3" xfId="0" applyFont="1" applyBorder="1"/>
    <xf numFmtId="4" fontId="3" fillId="0" borderId="3" xfId="0" applyNumberFormat="1" applyFont="1" applyBorder="1"/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horizontal="right"/>
    </xf>
    <xf numFmtId="0" fontId="3" fillId="0" borderId="3" xfId="0" applyFont="1" applyFill="1" applyBorder="1"/>
    <xf numFmtId="0" fontId="3" fillId="0" borderId="3" xfId="0" applyFont="1" applyBorder="1" applyAlignment="1">
      <alignment horizontal="center" vertical="center"/>
    </xf>
    <xf numFmtId="4" fontId="0" fillId="5" borderId="3" xfId="0" applyNumberFormat="1" applyFill="1" applyBorder="1"/>
    <xf numFmtId="4" fontId="0" fillId="0" borderId="17" xfId="0" applyNumberFormat="1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1" xfId="0" applyFill="1" applyBorder="1" applyAlignment="1">
      <alignment wrapText="1"/>
    </xf>
    <xf numFmtId="49" fontId="0" fillId="5" borderId="0" xfId="0" applyNumberFormat="1" applyFill="1"/>
    <xf numFmtId="0" fontId="0" fillId="5" borderId="0" xfId="0" applyFill="1" applyAlignment="1">
      <alignment horizontal="right"/>
    </xf>
    <xf numFmtId="4" fontId="0" fillId="0" borderId="34" xfId="0" applyNumberFormat="1" applyBorder="1"/>
    <xf numFmtId="0" fontId="9" fillId="0" borderId="0" xfId="0" applyFont="1"/>
    <xf numFmtId="0" fontId="26" fillId="0" borderId="0" xfId="6" applyFont="1" applyFill="1" applyBorder="1"/>
    <xf numFmtId="0" fontId="25" fillId="0" borderId="0" xfId="6" applyFont="1" applyFill="1" applyBorder="1" applyAlignment="1">
      <alignment horizontal="center"/>
    </xf>
    <xf numFmtId="4" fontId="3" fillId="0" borderId="0" xfId="0" applyNumberFormat="1" applyFont="1"/>
    <xf numFmtId="0" fontId="6" fillId="0" borderId="0" xfId="0" applyFont="1"/>
    <xf numFmtId="0" fontId="21" fillId="0" borderId="0" xfId="0" applyFont="1"/>
    <xf numFmtId="0" fontId="28" fillId="0" borderId="0" xfId="6" applyFont="1" applyFill="1" applyBorder="1" applyAlignment="1">
      <alignment horizontal="center"/>
    </xf>
    <xf numFmtId="0" fontId="0" fillId="0" borderId="7" xfId="0" applyFill="1" applyBorder="1"/>
    <xf numFmtId="0" fontId="3" fillId="0" borderId="7" xfId="0" applyFont="1" applyFill="1" applyBorder="1"/>
    <xf numFmtId="4" fontId="3" fillId="0" borderId="0" xfId="0" applyNumberFormat="1" applyFont="1" applyBorder="1"/>
    <xf numFmtId="49" fontId="10" fillId="6" borderId="3" xfId="1" applyNumberFormat="1" applyFont="1" applyFill="1" applyBorder="1"/>
    <xf numFmtId="0" fontId="3" fillId="6" borderId="3" xfId="1" applyFont="1" applyFill="1" applyBorder="1"/>
    <xf numFmtId="0" fontId="3" fillId="6" borderId="0" xfId="1" applyFont="1" applyFill="1"/>
    <xf numFmtId="4" fontId="6" fillId="0" borderId="0" xfId="0" applyNumberFormat="1" applyFont="1" applyFill="1"/>
    <xf numFmtId="0" fontId="30" fillId="0" borderId="0" xfId="0" applyFont="1" applyAlignment="1">
      <alignment vertical="top" wrapText="1"/>
    </xf>
    <xf numFmtId="3" fontId="0" fillId="0" borderId="0" xfId="0" applyNumberFormat="1"/>
    <xf numFmtId="0" fontId="22" fillId="0" borderId="0" xfId="1" applyFont="1"/>
    <xf numFmtId="0" fontId="22" fillId="0" borderId="0" xfId="1" applyFont="1" applyFill="1"/>
    <xf numFmtId="0" fontId="22" fillId="0" borderId="0" xfId="1" applyFont="1" applyFill="1" applyAlignment="1">
      <alignment horizontal="center"/>
    </xf>
    <xf numFmtId="4" fontId="22" fillId="0" borderId="0" xfId="1" applyNumberFormat="1" applyFont="1" applyFill="1"/>
    <xf numFmtId="0" fontId="22" fillId="0" borderId="0" xfId="1" applyFont="1" applyAlignment="1">
      <alignment horizontal="right"/>
    </xf>
    <xf numFmtId="0" fontId="23" fillId="0" borderId="0" xfId="1" applyFont="1"/>
    <xf numFmtId="0" fontId="23" fillId="0" borderId="0" xfId="1" applyFont="1" applyFill="1" applyAlignment="1">
      <alignment horizontal="center"/>
    </xf>
    <xf numFmtId="4" fontId="23" fillId="0" borderId="0" xfId="1" applyNumberFormat="1" applyFont="1" applyFill="1"/>
    <xf numFmtId="0" fontId="23" fillId="0" borderId="12" xfId="1" applyFont="1" applyBorder="1"/>
    <xf numFmtId="0" fontId="23" fillId="0" borderId="13" xfId="1" applyFont="1" applyBorder="1"/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/>
    <xf numFmtId="0" fontId="29" fillId="0" borderId="0" xfId="0" applyFont="1" applyAlignment="1"/>
    <xf numFmtId="4" fontId="0" fillId="0" borderId="26" xfId="0" applyNumberFormat="1" applyBorder="1"/>
    <xf numFmtId="4" fontId="0" fillId="0" borderId="28" xfId="0" applyNumberFormat="1" applyBorder="1"/>
    <xf numFmtId="4" fontId="0" fillId="5" borderId="26" xfId="0" applyNumberFormat="1" applyFill="1" applyBorder="1"/>
    <xf numFmtId="4" fontId="0" fillId="0" borderId="27" xfId="0" applyNumberFormat="1" applyBorder="1"/>
    <xf numFmtId="4" fontId="1" fillId="8" borderId="0" xfId="0" applyNumberFormat="1" applyFont="1" applyFill="1"/>
    <xf numFmtId="2" fontId="0" fillId="0" borderId="19" xfId="0" applyNumberFormat="1" applyBorder="1"/>
    <xf numFmtId="2" fontId="0" fillId="0" borderId="24" xfId="0" applyNumberFormat="1" applyBorder="1"/>
    <xf numFmtId="4" fontId="0" fillId="0" borderId="25" xfId="0" applyNumberFormat="1" applyBorder="1"/>
    <xf numFmtId="49" fontId="0" fillId="0" borderId="3" xfId="0" applyNumberFormat="1" applyFill="1" applyBorder="1" applyAlignment="1">
      <alignment horizontal="center"/>
    </xf>
    <xf numFmtId="3" fontId="0" fillId="0" borderId="0" xfId="0" applyNumberFormat="1" applyFill="1"/>
    <xf numFmtId="4" fontId="3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center"/>
    </xf>
    <xf numFmtId="4" fontId="24" fillId="0" borderId="0" xfId="1" applyNumberFormat="1" applyFont="1" applyFill="1"/>
    <xf numFmtId="0" fontId="24" fillId="0" borderId="0" xfId="1" applyFont="1" applyFill="1"/>
    <xf numFmtId="4" fontId="13" fillId="0" borderId="0" xfId="1" applyNumberFormat="1" applyFont="1" applyFill="1"/>
    <xf numFmtId="0" fontId="13" fillId="0" borderId="0" xfId="1" applyFont="1" applyFill="1"/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center"/>
    </xf>
    <xf numFmtId="4" fontId="11" fillId="5" borderId="3" xfId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35" fillId="0" borderId="0" xfId="0" applyFont="1" applyAlignment="1">
      <alignment horizontal="right"/>
    </xf>
    <xf numFmtId="0" fontId="35" fillId="0" borderId="0" xfId="0" applyFont="1"/>
    <xf numFmtId="0" fontId="36" fillId="0" borderId="0" xfId="0" applyNumberFormat="1" applyFont="1" applyAlignment="1">
      <alignment horizontal="center"/>
    </xf>
    <xf numFmtId="0" fontId="36" fillId="0" borderId="0" xfId="0" applyNumberFormat="1" applyFont="1" applyAlignment="1">
      <alignment horizontal="right"/>
    </xf>
    <xf numFmtId="0" fontId="36" fillId="0" borderId="0" xfId="0" applyNumberFormat="1" applyFont="1" applyAlignment="1">
      <alignment horizontal="left"/>
    </xf>
    <xf numFmtId="0" fontId="36" fillId="0" borderId="0" xfId="0" applyNumberFormat="1" applyFont="1" applyAlignment="1">
      <alignment horizontal="left" vertical="top"/>
    </xf>
    <xf numFmtId="0" fontId="36" fillId="0" borderId="0" xfId="0" applyNumberFormat="1" applyFont="1" applyAlignment="1">
      <alignment horizontal="left" vertical="top" wrapText="1"/>
    </xf>
    <xf numFmtId="0" fontId="36" fillId="0" borderId="0" xfId="0" applyNumberFormat="1" applyFont="1" applyAlignment="1">
      <alignment vertical="top"/>
    </xf>
    <xf numFmtId="0" fontId="36" fillId="0" borderId="0" xfId="0" applyNumberFormat="1" applyFont="1" applyAlignment="1">
      <alignment vertical="top" wrapText="1"/>
    </xf>
    <xf numFmtId="4" fontId="36" fillId="0" borderId="0" xfId="0" applyNumberFormat="1" applyFont="1" applyAlignment="1">
      <alignment horizontal="left" vertical="top" wrapText="1"/>
    </xf>
    <xf numFmtId="4" fontId="36" fillId="0" borderId="0" xfId="0" applyNumberFormat="1" applyFont="1" applyAlignment="1">
      <alignment horizontal="center" vertical="top"/>
    </xf>
    <xf numFmtId="4" fontId="17" fillId="0" borderId="0" xfId="0" applyNumberFormat="1" applyFont="1"/>
    <xf numFmtId="0" fontId="37" fillId="0" borderId="0" xfId="0" applyFont="1"/>
    <xf numFmtId="4" fontId="37" fillId="0" borderId="0" xfId="0" applyNumberFormat="1" applyFont="1" applyAlignment="1">
      <alignment horizontal="center"/>
    </xf>
    <xf numFmtId="0" fontId="38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6" fillId="0" borderId="1" xfId="0" applyFont="1" applyBorder="1" applyAlignment="1">
      <alignment horizontal="left"/>
    </xf>
    <xf numFmtId="4" fontId="3" fillId="0" borderId="0" xfId="1" applyNumberFormat="1" applyFont="1" applyFill="1"/>
    <xf numFmtId="0" fontId="0" fillId="0" borderId="0" xfId="0" applyAlignment="1">
      <alignment horizontal="left"/>
    </xf>
    <xf numFmtId="0" fontId="39" fillId="0" borderId="0" xfId="0" applyFont="1"/>
    <xf numFmtId="0" fontId="36" fillId="0" borderId="0" xfId="0" applyNumberFormat="1" applyFont="1" applyAlignment="1">
      <alignment horizontal="center" vertical="top" wrapText="1"/>
    </xf>
    <xf numFmtId="0" fontId="0" fillId="0" borderId="0" xfId="0" applyAlignment="1"/>
    <xf numFmtId="0" fontId="1" fillId="0" borderId="0" xfId="0" applyFont="1" applyAlignment="1"/>
    <xf numFmtId="0" fontId="0" fillId="0" borderId="29" xfId="0" applyFill="1" applyBorder="1" applyAlignment="1">
      <alignment wrapText="1"/>
    </xf>
    <xf numFmtId="0" fontId="0" fillId="0" borderId="32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8" xfId="0" applyFill="1" applyBorder="1" applyAlignment="1">
      <alignment horizontal="center" wrapText="1"/>
    </xf>
    <xf numFmtId="49" fontId="0" fillId="7" borderId="0" xfId="0" applyNumberFormat="1" applyFill="1"/>
    <xf numFmtId="3" fontId="0" fillId="7" borderId="0" xfId="0" applyNumberFormat="1" applyFill="1" applyAlignment="1">
      <alignment horizontal="right"/>
    </xf>
    <xf numFmtId="0" fontId="0" fillId="7" borderId="0" xfId="0" applyFill="1"/>
    <xf numFmtId="0" fontId="6" fillId="7" borderId="0" xfId="0" applyFont="1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4" fontId="40" fillId="0" borderId="3" xfId="0" applyNumberFormat="1" applyFont="1" applyFill="1" applyBorder="1"/>
    <xf numFmtId="0" fontId="0" fillId="0" borderId="3" xfId="0" applyNumberFormat="1" applyFill="1" applyBorder="1" applyAlignment="1">
      <alignment horizontal="center"/>
    </xf>
    <xf numFmtId="0" fontId="0" fillId="0" borderId="8" xfId="0" applyFill="1" applyBorder="1" applyAlignment="1">
      <alignment vertical="top" wrapText="1"/>
    </xf>
    <xf numFmtId="0" fontId="1" fillId="0" borderId="0" xfId="0" applyFont="1" applyAlignment="1"/>
    <xf numFmtId="4" fontId="37" fillId="0" borderId="0" xfId="0" applyNumberFormat="1" applyFont="1"/>
    <xf numFmtId="49" fontId="11" fillId="0" borderId="3" xfId="1" applyNumberFormat="1" applyFont="1" applyBorder="1" applyAlignment="1">
      <alignment vertical="top" wrapText="1"/>
    </xf>
    <xf numFmtId="4" fontId="7" fillId="0" borderId="3" xfId="0" applyNumberFormat="1" applyFont="1" applyFill="1" applyBorder="1"/>
    <xf numFmtId="4" fontId="1" fillId="0" borderId="0" xfId="0" applyNumberFormat="1" applyFont="1" applyAlignment="1">
      <alignment horizontal="right"/>
    </xf>
    <xf numFmtId="0" fontId="7" fillId="6" borderId="0" xfId="1" applyFont="1" applyFill="1"/>
    <xf numFmtId="1" fontId="11" fillId="0" borderId="6" xfId="1" applyNumberFormat="1" applyFont="1" applyFill="1" applyBorder="1" applyAlignment="1">
      <alignment horizontal="left" wrapText="1"/>
    </xf>
    <xf numFmtId="4" fontId="3" fillId="5" borderId="3" xfId="0" applyNumberFormat="1" applyFont="1" applyFill="1" applyBorder="1"/>
    <xf numFmtId="0" fontId="41" fillId="0" borderId="0" xfId="0" applyFont="1"/>
    <xf numFmtId="0" fontId="1" fillId="5" borderId="0" xfId="0" applyFont="1" applyFill="1" applyAlignment="1"/>
    <xf numFmtId="49" fontId="10" fillId="6" borderId="3" xfId="2" applyNumberFormat="1" applyFont="1" applyFill="1" applyBorder="1" applyAlignment="1">
      <alignment vertical="top" wrapText="1"/>
    </xf>
    <xf numFmtId="49" fontId="11" fillId="0" borderId="3" xfId="1" applyNumberFormat="1" applyFont="1" applyBorder="1" applyAlignment="1">
      <alignment wrapText="1"/>
    </xf>
    <xf numFmtId="49" fontId="11" fillId="0" borderId="3" xfId="1" applyNumberFormat="1" applyFont="1" applyFill="1" applyBorder="1" applyAlignment="1">
      <alignment wrapText="1"/>
    </xf>
    <xf numFmtId="2" fontId="0" fillId="0" borderId="19" xfId="0" applyNumberFormat="1" applyFill="1" applyBorder="1"/>
    <xf numFmtId="0" fontId="0" fillId="0" borderId="3" xfId="0" applyFill="1" applyBorder="1" applyAlignment="1">
      <alignment horizontal="center"/>
    </xf>
    <xf numFmtId="4" fontId="0" fillId="0" borderId="3" xfId="0" applyNumberFormat="1" applyFill="1" applyBorder="1" applyAlignment="1">
      <alignment horizontal="right"/>
    </xf>
    <xf numFmtId="49" fontId="0" fillId="0" borderId="0" xfId="0" applyNumberFormat="1" applyFill="1"/>
    <xf numFmtId="3" fontId="0" fillId="0" borderId="0" xfId="0" applyNumberFormat="1" applyFill="1" applyAlignment="1">
      <alignment horizontal="right"/>
    </xf>
    <xf numFmtId="0" fontId="0" fillId="0" borderId="3" xfId="0" applyFill="1" applyBorder="1" applyAlignment="1">
      <alignment horizontal="center"/>
    </xf>
    <xf numFmtId="0" fontId="0" fillId="0" borderId="0" xfId="0" applyFill="1" applyAlignment="1">
      <alignment horizontal="right"/>
    </xf>
    <xf numFmtId="49" fontId="10" fillId="9" borderId="11" xfId="2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36" fillId="0" borderId="0" xfId="0" applyFont="1" applyAlignment="1">
      <alignment horizontal="left"/>
    </xf>
    <xf numFmtId="0" fontId="36" fillId="0" borderId="0" xfId="0" applyNumberFormat="1" applyFont="1" applyAlignment="1">
      <alignment horizontal="left" vertical="top" wrapText="1"/>
    </xf>
    <xf numFmtId="0" fontId="36" fillId="0" borderId="0" xfId="0" applyNumberFormat="1" applyFont="1" applyAlignment="1">
      <alignment horizontal="left" vertical="top"/>
    </xf>
    <xf numFmtId="0" fontId="42" fillId="0" borderId="8" xfId="0" applyFont="1" applyBorder="1" applyAlignment="1">
      <alignment vertical="top"/>
    </xf>
    <xf numFmtId="0" fontId="42" fillId="0" borderId="10" xfId="0" applyFont="1" applyBorder="1" applyAlignment="1">
      <alignment vertical="top"/>
    </xf>
    <xf numFmtId="0" fontId="42" fillId="0" borderId="2" xfId="0" applyFont="1" applyBorder="1" applyAlignment="1">
      <alignment vertical="top"/>
    </xf>
    <xf numFmtId="0" fontId="43" fillId="0" borderId="29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32" xfId="0" applyFont="1" applyBorder="1" applyAlignment="1">
      <alignment vertical="top"/>
    </xf>
    <xf numFmtId="0" fontId="42" fillId="0" borderId="1" xfId="0" applyFont="1" applyBorder="1" applyAlignment="1">
      <alignment vertical="top"/>
    </xf>
    <xf numFmtId="0" fontId="42" fillId="0" borderId="33" xfId="0" applyFont="1" applyBorder="1" applyAlignment="1">
      <alignment vertical="top"/>
    </xf>
    <xf numFmtId="0" fontId="42" fillId="0" borderId="31" xfId="0" applyFont="1" applyBorder="1" applyAlignment="1">
      <alignment vertical="top"/>
    </xf>
    <xf numFmtId="0" fontId="42" fillId="0" borderId="0" xfId="0" applyFont="1" applyBorder="1" applyAlignment="1">
      <alignment vertical="top"/>
    </xf>
    <xf numFmtId="0" fontId="42" fillId="0" borderId="4" xfId="0" applyFont="1" applyBorder="1" applyAlignment="1">
      <alignment vertical="top"/>
    </xf>
    <xf numFmtId="0" fontId="43" fillId="0" borderId="0" xfId="0" applyFont="1" applyBorder="1" applyAlignment="1">
      <alignment vertical="top"/>
    </xf>
    <xf numFmtId="0" fontId="42" fillId="0" borderId="33" xfId="0" applyFont="1" applyBorder="1" applyAlignment="1">
      <alignment vertical="top" wrapText="1"/>
    </xf>
    <xf numFmtId="0" fontId="43" fillId="0" borderId="33" xfId="15" applyFont="1" applyBorder="1" applyAlignment="1">
      <alignment horizontal="left" vertical="top"/>
    </xf>
    <xf numFmtId="0" fontId="42" fillId="0" borderId="0" xfId="0" applyFont="1" applyBorder="1" applyAlignment="1">
      <alignment vertical="top" wrapText="1"/>
    </xf>
    <xf numFmtId="0" fontId="42" fillId="0" borderId="0" xfId="15" applyNumberFormat="1" applyFont="1" applyBorder="1" applyAlignment="1">
      <alignment horizontal="left" vertical="top" wrapText="1"/>
    </xf>
    <xf numFmtId="0" fontId="42" fillId="0" borderId="0" xfId="0" applyFont="1" applyBorder="1" applyAlignment="1">
      <alignment horizontal="left" vertical="top" wrapText="1"/>
    </xf>
    <xf numFmtId="0" fontId="43" fillId="0" borderId="4" xfId="15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42" fillId="0" borderId="32" xfId="0" applyFont="1" applyBorder="1" applyAlignment="1">
      <alignment vertical="top" wrapText="1"/>
    </xf>
    <xf numFmtId="0" fontId="42" fillId="0" borderId="1" xfId="0" applyFont="1" applyBorder="1" applyAlignment="1">
      <alignment vertical="top" wrapText="1"/>
    </xf>
    <xf numFmtId="0" fontId="42" fillId="0" borderId="29" xfId="0" applyFont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42" fillId="0" borderId="29" xfId="0" applyFont="1" applyBorder="1" applyAlignment="1">
      <alignment vertical="top"/>
    </xf>
    <xf numFmtId="4" fontId="11" fillId="8" borderId="5" xfId="3" applyNumberFormat="1" applyFont="1" applyFill="1" applyBorder="1" applyAlignment="1">
      <alignment horizontal="right" wrapText="1"/>
    </xf>
    <xf numFmtId="4" fontId="11" fillId="8" borderId="3" xfId="1" applyNumberFormat="1" applyFont="1" applyFill="1" applyBorder="1" applyAlignment="1">
      <alignment horizontal="right"/>
    </xf>
    <xf numFmtId="4" fontId="10" fillId="8" borderId="5" xfId="3" applyNumberFormat="1" applyFont="1" applyFill="1" applyBorder="1" applyAlignment="1">
      <alignment horizontal="right" wrapText="1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1" xfId="0" applyFill="1" applyBorder="1" applyAlignment="1">
      <alignment horizontal="left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Fill="1" applyAlignment="1">
      <alignment horizontal="center" wrapText="1"/>
    </xf>
    <xf numFmtId="0" fontId="0" fillId="0" borderId="4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14" fontId="0" fillId="0" borderId="5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" fontId="27" fillId="0" borderId="3" xfId="6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0" fillId="0" borderId="0" xfId="0" applyAlignment="1">
      <alignment horizontal="left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/>
    <xf numFmtId="0" fontId="1" fillId="0" borderId="0" xfId="0" applyFont="1" applyAlignment="1"/>
    <xf numFmtId="4" fontId="27" fillId="0" borderId="8" xfId="6" applyNumberFormat="1" applyFont="1" applyFill="1" applyBorder="1" applyAlignment="1">
      <alignment horizontal="center" wrapText="1"/>
    </xf>
    <xf numFmtId="4" fontId="27" fillId="0" borderId="10" xfId="6" applyNumberFormat="1" applyFont="1" applyFill="1" applyBorder="1" applyAlignment="1">
      <alignment horizontal="center" wrapText="1"/>
    </xf>
    <xf numFmtId="4" fontId="27" fillId="0" borderId="9" xfId="6" applyNumberFormat="1" applyFont="1" applyFill="1" applyBorder="1" applyAlignment="1">
      <alignment horizontal="center" wrapText="1"/>
    </xf>
    <xf numFmtId="4" fontId="27" fillId="0" borderId="31" xfId="6" applyNumberFormat="1" applyFont="1" applyFill="1" applyBorder="1" applyAlignment="1">
      <alignment horizontal="center" wrapText="1"/>
    </xf>
    <xf numFmtId="4" fontId="27" fillId="0" borderId="0" xfId="6" applyNumberFormat="1" applyFont="1" applyFill="1" applyBorder="1" applyAlignment="1">
      <alignment horizontal="center" wrapText="1"/>
    </xf>
    <xf numFmtId="4" fontId="27" fillId="0" borderId="4" xfId="6" applyNumberFormat="1" applyFont="1" applyFill="1" applyBorder="1" applyAlignment="1">
      <alignment horizontal="center" wrapText="1"/>
    </xf>
    <xf numFmtId="4" fontId="26" fillId="0" borderId="8" xfId="6" applyNumberFormat="1" applyFont="1" applyFill="1" applyBorder="1" applyAlignment="1">
      <alignment horizontal="center" wrapText="1"/>
    </xf>
    <xf numFmtId="4" fontId="26" fillId="0" borderId="10" xfId="6" applyNumberFormat="1" applyFont="1" applyFill="1" applyBorder="1" applyAlignment="1">
      <alignment horizontal="center" wrapText="1"/>
    </xf>
    <xf numFmtId="4" fontId="26" fillId="0" borderId="9" xfId="6" applyNumberFormat="1" applyFont="1" applyFill="1" applyBorder="1" applyAlignment="1">
      <alignment horizontal="center" wrapText="1"/>
    </xf>
    <xf numFmtId="4" fontId="27" fillId="0" borderId="12" xfId="6" applyNumberFormat="1" applyFont="1" applyFill="1" applyBorder="1" applyAlignment="1">
      <alignment horizontal="center" wrapText="1"/>
    </xf>
    <xf numFmtId="4" fontId="27" fillId="0" borderId="41" xfId="6" applyNumberFormat="1" applyFont="1" applyFill="1" applyBorder="1" applyAlignment="1">
      <alignment horizontal="center" wrapText="1"/>
    </xf>
    <xf numFmtId="4" fontId="27" fillId="0" borderId="13" xfId="6" applyNumberFormat="1" applyFont="1" applyFill="1" applyBorder="1" applyAlignment="1">
      <alignment horizontal="center" wrapText="1"/>
    </xf>
    <xf numFmtId="2" fontId="26" fillId="0" borderId="8" xfId="6" applyNumberFormat="1" applyFont="1" applyFill="1" applyBorder="1" applyAlignment="1">
      <alignment horizontal="left" wrapText="1"/>
    </xf>
    <xf numFmtId="2" fontId="26" fillId="0" borderId="10" xfId="6" applyNumberFormat="1" applyFont="1" applyFill="1" applyBorder="1" applyAlignment="1">
      <alignment horizontal="left" wrapText="1"/>
    </xf>
    <xf numFmtId="2" fontId="26" fillId="0" borderId="9" xfId="6" applyNumberFormat="1" applyFont="1" applyFill="1" applyBorder="1" applyAlignment="1">
      <alignment horizontal="left" wrapText="1"/>
    </xf>
    <xf numFmtId="4" fontId="27" fillId="0" borderId="29" xfId="6" applyNumberFormat="1" applyFont="1" applyFill="1" applyBorder="1" applyAlignment="1">
      <alignment horizontal="center" wrapText="1"/>
    </xf>
    <xf numFmtId="4" fontId="27" fillId="0" borderId="2" xfId="6" applyNumberFormat="1" applyFont="1" applyFill="1" applyBorder="1" applyAlignment="1">
      <alignment horizontal="center" wrapText="1"/>
    </xf>
    <xf numFmtId="4" fontId="27" fillId="0" borderId="30" xfId="6" applyNumberFormat="1" applyFont="1" applyFill="1" applyBorder="1" applyAlignment="1">
      <alignment horizontal="center" wrapText="1"/>
    </xf>
    <xf numFmtId="4" fontId="27" fillId="0" borderId="32" xfId="6" applyNumberFormat="1" applyFont="1" applyFill="1" applyBorder="1" applyAlignment="1">
      <alignment horizontal="center" wrapText="1"/>
    </xf>
    <xf numFmtId="4" fontId="27" fillId="0" borderId="1" xfId="6" applyNumberFormat="1" applyFont="1" applyFill="1" applyBorder="1" applyAlignment="1">
      <alignment horizontal="center" wrapText="1"/>
    </xf>
    <xf numFmtId="4" fontId="27" fillId="0" borderId="33" xfId="6" applyNumberFormat="1" applyFont="1" applyFill="1" applyBorder="1" applyAlignment="1">
      <alignment horizontal="center" wrapText="1"/>
    </xf>
    <xf numFmtId="4" fontId="27" fillId="0" borderId="35" xfId="6" applyNumberFormat="1" applyFont="1" applyFill="1" applyBorder="1" applyAlignment="1">
      <alignment horizontal="center" wrapText="1"/>
    </xf>
    <xf numFmtId="4" fontId="27" fillId="0" borderId="36" xfId="6" applyNumberFormat="1" applyFont="1" applyFill="1" applyBorder="1" applyAlignment="1">
      <alignment horizontal="center" wrapText="1"/>
    </xf>
    <xf numFmtId="4" fontId="27" fillId="0" borderId="37" xfId="6" applyNumberFormat="1" applyFont="1" applyFill="1" applyBorder="1" applyAlignment="1">
      <alignment horizontal="center" wrapText="1"/>
    </xf>
    <xf numFmtId="4" fontId="27" fillId="0" borderId="39" xfId="6" applyNumberFormat="1" applyFont="1" applyFill="1" applyBorder="1" applyAlignment="1">
      <alignment horizontal="center" wrapText="1"/>
    </xf>
    <xf numFmtId="4" fontId="27" fillId="0" borderId="38" xfId="6" applyNumberFormat="1" applyFont="1" applyFill="1" applyBorder="1" applyAlignment="1">
      <alignment horizontal="center" wrapText="1"/>
    </xf>
    <xf numFmtId="4" fontId="27" fillId="0" borderId="40" xfId="6" applyNumberFormat="1" applyFont="1" applyFill="1" applyBorder="1" applyAlignment="1">
      <alignment horizontal="center" wrapText="1"/>
    </xf>
    <xf numFmtId="4" fontId="26" fillId="0" borderId="2" xfId="6" applyNumberFormat="1" applyFont="1" applyFill="1" applyBorder="1" applyAlignment="1">
      <alignment horizontal="center" wrapText="1"/>
    </xf>
    <xf numFmtId="4" fontId="26" fillId="0" borderId="30" xfId="6" applyNumberFormat="1" applyFont="1" applyFill="1" applyBorder="1" applyAlignment="1">
      <alignment horizontal="center" wrapText="1"/>
    </xf>
    <xf numFmtId="4" fontId="26" fillId="0" borderId="1" xfId="6" applyNumberFormat="1" applyFont="1" applyFill="1" applyBorder="1" applyAlignment="1">
      <alignment horizontal="center" wrapText="1"/>
    </xf>
    <xf numFmtId="4" fontId="26" fillId="0" borderId="33" xfId="6" applyNumberFormat="1" applyFont="1" applyFill="1" applyBorder="1" applyAlignment="1">
      <alignment horizontal="center" wrapText="1"/>
    </xf>
    <xf numFmtId="2" fontId="26" fillId="0" borderId="29" xfId="6" applyNumberFormat="1" applyFont="1" applyFill="1" applyBorder="1" applyAlignment="1">
      <alignment horizontal="left" wrapText="1"/>
    </xf>
    <xf numFmtId="2" fontId="26" fillId="0" borderId="2" xfId="6" applyNumberFormat="1" applyFont="1" applyFill="1" applyBorder="1" applyAlignment="1">
      <alignment horizontal="left" wrapText="1"/>
    </xf>
    <xf numFmtId="2" fontId="26" fillId="0" borderId="30" xfId="6" applyNumberFormat="1" applyFont="1" applyFill="1" applyBorder="1" applyAlignment="1">
      <alignment horizontal="left" wrapText="1"/>
    </xf>
    <xf numFmtId="2" fontId="26" fillId="0" borderId="29" xfId="6" applyNumberFormat="1" applyFont="1" applyFill="1" applyBorder="1" applyAlignment="1">
      <alignment horizontal="center" wrapText="1"/>
    </xf>
    <xf numFmtId="2" fontId="26" fillId="0" borderId="2" xfId="6" applyNumberFormat="1" applyFont="1" applyFill="1" applyBorder="1" applyAlignment="1">
      <alignment horizontal="center" wrapText="1"/>
    </xf>
    <xf numFmtId="2" fontId="26" fillId="0" borderId="30" xfId="6" applyNumberFormat="1" applyFont="1" applyFill="1" applyBorder="1" applyAlignment="1">
      <alignment horizontal="center" wrapText="1"/>
    </xf>
    <xf numFmtId="2" fontId="26" fillId="0" borderId="32" xfId="6" applyNumberFormat="1" applyFont="1" applyFill="1" applyBorder="1" applyAlignment="1">
      <alignment horizontal="center" wrapText="1"/>
    </xf>
    <xf numFmtId="2" fontId="26" fillId="0" borderId="1" xfId="6" applyNumberFormat="1" applyFont="1" applyFill="1" applyBorder="1" applyAlignment="1">
      <alignment horizontal="center" wrapText="1"/>
    </xf>
    <xf numFmtId="2" fontId="26" fillId="0" borderId="33" xfId="6" applyNumberFormat="1" applyFont="1" applyFill="1" applyBorder="1" applyAlignment="1">
      <alignment horizontal="center" wrapText="1"/>
    </xf>
    <xf numFmtId="1" fontId="26" fillId="0" borderId="29" xfId="6" applyNumberFormat="1" applyFont="1" applyFill="1" applyBorder="1" applyAlignment="1">
      <alignment horizontal="center" wrapText="1"/>
    </xf>
    <xf numFmtId="1" fontId="26" fillId="0" borderId="2" xfId="6" applyNumberFormat="1" applyFont="1" applyFill="1" applyBorder="1" applyAlignment="1">
      <alignment horizontal="center" wrapText="1"/>
    </xf>
    <xf numFmtId="1" fontId="26" fillId="0" borderId="30" xfId="6" applyNumberFormat="1" applyFont="1" applyFill="1" applyBorder="1" applyAlignment="1">
      <alignment horizontal="center" wrapText="1"/>
    </xf>
    <xf numFmtId="1" fontId="26" fillId="0" borderId="32" xfId="6" applyNumberFormat="1" applyFont="1" applyFill="1" applyBorder="1" applyAlignment="1">
      <alignment horizontal="center" wrapText="1"/>
    </xf>
    <xf numFmtId="1" fontId="26" fillId="0" borderId="1" xfId="6" applyNumberFormat="1" applyFont="1" applyFill="1" applyBorder="1" applyAlignment="1">
      <alignment horizontal="center" wrapText="1"/>
    </xf>
    <xf numFmtId="1" fontId="26" fillId="0" borderId="33" xfId="6" applyNumberFormat="1" applyFont="1" applyFill="1" applyBorder="1" applyAlignment="1">
      <alignment horizontal="center" wrapText="1"/>
    </xf>
    <xf numFmtId="1" fontId="26" fillId="0" borderId="8" xfId="6" applyNumberFormat="1" applyFont="1" applyFill="1" applyBorder="1" applyAlignment="1">
      <alignment horizontal="center" wrapText="1"/>
    </xf>
    <xf numFmtId="1" fontId="26" fillId="0" borderId="10" xfId="6" applyNumberFormat="1" applyFont="1" applyFill="1" applyBorder="1" applyAlignment="1">
      <alignment horizontal="center" wrapText="1"/>
    </xf>
    <xf numFmtId="1" fontId="26" fillId="0" borderId="9" xfId="6" applyNumberFormat="1" applyFont="1" applyFill="1" applyBorder="1" applyAlignment="1">
      <alignment horizontal="center" wrapText="1"/>
    </xf>
    <xf numFmtId="4" fontId="27" fillId="0" borderId="8" xfId="6" applyNumberFormat="1" applyFont="1" applyFill="1" applyBorder="1" applyAlignment="1">
      <alignment horizontal="center"/>
    </xf>
    <xf numFmtId="4" fontId="27" fillId="0" borderId="10" xfId="6" applyNumberFormat="1" applyFont="1" applyFill="1" applyBorder="1" applyAlignment="1">
      <alignment horizontal="center"/>
    </xf>
    <xf numFmtId="4" fontId="27" fillId="0" borderId="9" xfId="6" applyNumberFormat="1" applyFont="1" applyFill="1" applyBorder="1" applyAlignment="1">
      <alignment horizontal="center"/>
    </xf>
    <xf numFmtId="4" fontId="26" fillId="0" borderId="0" xfId="6" applyNumberFormat="1" applyFont="1" applyFill="1" applyBorder="1" applyAlignment="1">
      <alignment horizontal="center" wrapText="1"/>
    </xf>
    <xf numFmtId="4" fontId="26" fillId="0" borderId="4" xfId="6" applyNumberFormat="1" applyFont="1" applyFill="1" applyBorder="1" applyAlignment="1">
      <alignment horizontal="center" wrapText="1"/>
    </xf>
    <xf numFmtId="2" fontId="26" fillId="8" borderId="8" xfId="6" applyNumberFormat="1" applyFont="1" applyFill="1" applyBorder="1" applyAlignment="1">
      <alignment horizontal="left" wrapText="1"/>
    </xf>
    <xf numFmtId="2" fontId="26" fillId="8" borderId="10" xfId="6" applyNumberFormat="1" applyFont="1" applyFill="1" applyBorder="1" applyAlignment="1">
      <alignment horizontal="left" wrapText="1"/>
    </xf>
    <xf numFmtId="2" fontId="26" fillId="8" borderId="9" xfId="6" applyNumberFormat="1" applyFont="1" applyFill="1" applyBorder="1" applyAlignment="1">
      <alignment horizontal="left" wrapText="1"/>
    </xf>
    <xf numFmtId="4" fontId="26" fillId="0" borderId="29" xfId="6" applyNumberFormat="1" applyFont="1" applyFill="1" applyBorder="1" applyAlignment="1">
      <alignment horizontal="center" wrapText="1"/>
    </xf>
    <xf numFmtId="4" fontId="26" fillId="0" borderId="32" xfId="6" applyNumberFormat="1" applyFont="1" applyFill="1" applyBorder="1" applyAlignment="1">
      <alignment horizontal="center" wrapText="1"/>
    </xf>
    <xf numFmtId="2" fontId="26" fillId="0" borderId="31" xfId="6" applyNumberFormat="1" applyFont="1" applyFill="1" applyBorder="1" applyAlignment="1">
      <alignment horizontal="left" wrapText="1"/>
    </xf>
    <xf numFmtId="2" fontId="26" fillId="0" borderId="0" xfId="6" applyNumberFormat="1" applyFont="1" applyFill="1" applyBorder="1" applyAlignment="1">
      <alignment horizontal="left" wrapText="1"/>
    </xf>
    <xf numFmtId="2" fontId="26" fillId="0" borderId="4" xfId="6" applyNumberFormat="1" applyFont="1" applyFill="1" applyBorder="1" applyAlignment="1">
      <alignment horizontal="left" wrapText="1"/>
    </xf>
    <xf numFmtId="2" fontId="26" fillId="8" borderId="31" xfId="6" applyNumberFormat="1" applyFont="1" applyFill="1" applyBorder="1" applyAlignment="1">
      <alignment horizontal="left" wrapText="1"/>
    </xf>
    <xf numFmtId="2" fontId="26" fillId="8" borderId="0" xfId="6" applyNumberFormat="1" applyFont="1" applyFill="1" applyBorder="1" applyAlignment="1">
      <alignment horizontal="left" wrapText="1"/>
    </xf>
    <xf numFmtId="2" fontId="26" fillId="8" borderId="4" xfId="6" applyNumberFormat="1" applyFont="1" applyFill="1" applyBorder="1" applyAlignment="1">
      <alignment horizontal="left" wrapText="1"/>
    </xf>
    <xf numFmtId="4" fontId="27" fillId="0" borderId="29" xfId="6" applyNumberFormat="1" applyFont="1" applyFill="1" applyBorder="1" applyAlignment="1">
      <alignment horizontal="center"/>
    </xf>
    <xf numFmtId="4" fontId="27" fillId="0" borderId="2" xfId="6" applyNumberFormat="1" applyFont="1" applyFill="1" applyBorder="1" applyAlignment="1">
      <alignment horizontal="center"/>
    </xf>
    <xf numFmtId="4" fontId="27" fillId="0" borderId="30" xfId="6" applyNumberFormat="1" applyFont="1" applyFill="1" applyBorder="1" applyAlignment="1">
      <alignment horizontal="center"/>
    </xf>
    <xf numFmtId="4" fontId="27" fillId="0" borderId="32" xfId="6" applyNumberFormat="1" applyFont="1" applyFill="1" applyBorder="1" applyAlignment="1">
      <alignment horizontal="center"/>
    </xf>
    <xf numFmtId="4" fontId="27" fillId="0" borderId="1" xfId="6" applyNumberFormat="1" applyFont="1" applyFill="1" applyBorder="1" applyAlignment="1">
      <alignment horizontal="center"/>
    </xf>
    <xf numFmtId="4" fontId="27" fillId="0" borderId="33" xfId="6" applyNumberFormat="1" applyFont="1" applyFill="1" applyBorder="1" applyAlignment="1">
      <alignment horizontal="center"/>
    </xf>
    <xf numFmtId="2" fontId="26" fillId="8" borderId="29" xfId="6" applyNumberFormat="1" applyFont="1" applyFill="1" applyBorder="1" applyAlignment="1">
      <alignment horizontal="left" wrapText="1"/>
    </xf>
    <xf numFmtId="2" fontId="26" fillId="8" borderId="2" xfId="6" applyNumberFormat="1" applyFont="1" applyFill="1" applyBorder="1" applyAlignment="1">
      <alignment horizontal="left" wrapText="1"/>
    </xf>
    <xf numFmtId="2" fontId="26" fillId="8" borderId="30" xfId="6" applyNumberFormat="1" applyFont="1" applyFill="1" applyBorder="1" applyAlignment="1">
      <alignment horizontal="left" wrapText="1"/>
    </xf>
    <xf numFmtId="2" fontId="26" fillId="0" borderId="29" xfId="0" applyNumberFormat="1" applyFont="1" applyFill="1" applyBorder="1" applyAlignment="1">
      <alignment horizontal="left" wrapText="1"/>
    </xf>
    <xf numFmtId="2" fontId="26" fillId="0" borderId="2" xfId="0" applyNumberFormat="1" applyFont="1" applyFill="1" applyBorder="1" applyAlignment="1">
      <alignment horizontal="left" wrapText="1"/>
    </xf>
    <xf numFmtId="2" fontId="26" fillId="0" borderId="30" xfId="0" applyNumberFormat="1" applyFont="1" applyFill="1" applyBorder="1" applyAlignment="1">
      <alignment horizontal="left" wrapText="1"/>
    </xf>
    <xf numFmtId="2" fontId="25" fillId="0" borderId="29" xfId="0" applyNumberFormat="1" applyFont="1" applyFill="1" applyBorder="1" applyAlignment="1">
      <alignment horizontal="left" wrapText="1"/>
    </xf>
    <xf numFmtId="2" fontId="25" fillId="0" borderId="2" xfId="0" applyNumberFormat="1" applyFont="1" applyFill="1" applyBorder="1" applyAlignment="1">
      <alignment horizontal="left" wrapText="1"/>
    </xf>
    <xf numFmtId="2" fontId="25" fillId="0" borderId="30" xfId="0" applyNumberFormat="1" applyFont="1" applyFill="1" applyBorder="1" applyAlignment="1">
      <alignment horizontal="left" wrapText="1"/>
    </xf>
    <xf numFmtId="2" fontId="26" fillId="0" borderId="32" xfId="0" applyNumberFormat="1" applyFont="1" applyFill="1" applyBorder="1" applyAlignment="1">
      <alignment horizontal="left" wrapText="1"/>
    </xf>
    <xf numFmtId="2" fontId="26" fillId="0" borderId="1" xfId="0" applyNumberFormat="1" applyFont="1" applyFill="1" applyBorder="1" applyAlignment="1">
      <alignment horizontal="left" wrapText="1"/>
    </xf>
    <xf numFmtId="2" fontId="26" fillId="0" borderId="33" xfId="0" applyNumberFormat="1" applyFont="1" applyFill="1" applyBorder="1" applyAlignment="1">
      <alignment horizontal="left" wrapText="1"/>
    </xf>
    <xf numFmtId="1" fontId="27" fillId="0" borderId="8" xfId="6" applyNumberFormat="1" applyFont="1" applyFill="1" applyBorder="1" applyAlignment="1">
      <alignment horizontal="center" vertical="center" wrapText="1"/>
    </xf>
    <xf numFmtId="1" fontId="27" fillId="0" borderId="10" xfId="6" applyNumberFormat="1" applyFont="1" applyFill="1" applyBorder="1" applyAlignment="1">
      <alignment horizontal="center" vertical="center" wrapText="1"/>
    </xf>
    <xf numFmtId="1" fontId="27" fillId="0" borderId="9" xfId="6" applyNumberFormat="1" applyFont="1" applyFill="1" applyBorder="1" applyAlignment="1">
      <alignment horizontal="center" vertical="center" wrapText="1"/>
    </xf>
    <xf numFmtId="1" fontId="26" fillId="0" borderId="8" xfId="6" applyNumberFormat="1" applyFont="1" applyFill="1" applyBorder="1" applyAlignment="1">
      <alignment horizontal="center" vertical="center" wrapText="1"/>
    </xf>
    <xf numFmtId="1" fontId="26" fillId="0" borderId="10" xfId="6" applyNumberFormat="1" applyFont="1" applyFill="1" applyBorder="1" applyAlignment="1">
      <alignment horizontal="center" vertical="center" wrapText="1"/>
    </xf>
    <xf numFmtId="1" fontId="26" fillId="0" borderId="9" xfId="6" applyNumberFormat="1" applyFont="1" applyFill="1" applyBorder="1" applyAlignment="1">
      <alignment horizontal="center" vertical="center" wrapText="1"/>
    </xf>
    <xf numFmtId="0" fontId="25" fillId="0" borderId="0" xfId="6" applyFont="1" applyFill="1" applyBorder="1" applyAlignment="1">
      <alignment horizontal="center"/>
    </xf>
    <xf numFmtId="0" fontId="25" fillId="0" borderId="1" xfId="6" applyFont="1" applyFill="1" applyBorder="1" applyAlignment="1">
      <alignment horizontal="center"/>
    </xf>
    <xf numFmtId="2" fontId="25" fillId="0" borderId="3" xfId="6" applyNumberFormat="1" applyFont="1" applyFill="1" applyBorder="1" applyAlignment="1">
      <alignment horizontal="center" vertical="top" wrapText="1"/>
    </xf>
    <xf numFmtId="0" fontId="26" fillId="0" borderId="3" xfId="6" applyFont="1" applyFill="1" applyBorder="1" applyAlignment="1">
      <alignment horizontal="center" vertical="top" wrapText="1"/>
    </xf>
    <xf numFmtId="0" fontId="26" fillId="0" borderId="3" xfId="6" applyFont="1" applyFill="1" applyBorder="1" applyAlignment="1">
      <alignment horizontal="center" vertical="top"/>
    </xf>
    <xf numFmtId="0" fontId="27" fillId="0" borderId="3" xfId="6" applyFont="1" applyFill="1" applyBorder="1" applyAlignment="1">
      <alignment horizontal="center" vertical="top" wrapText="1"/>
    </xf>
    <xf numFmtId="1" fontId="26" fillId="0" borderId="3" xfId="6" applyNumberFormat="1" applyFont="1" applyFill="1" applyBorder="1" applyAlignment="1">
      <alignment horizontal="center" vertical="center" wrapText="1"/>
    </xf>
    <xf numFmtId="1" fontId="26" fillId="0" borderId="3" xfId="6" applyNumberFormat="1" applyFont="1" applyFill="1" applyBorder="1" applyAlignment="1">
      <alignment horizontal="center" wrapText="1"/>
    </xf>
    <xf numFmtId="4" fontId="26" fillId="0" borderId="3" xfId="6" applyNumberFormat="1" applyFont="1" applyFill="1" applyBorder="1" applyAlignment="1">
      <alignment horizontal="center" wrapText="1"/>
    </xf>
    <xf numFmtId="4" fontId="27" fillId="0" borderId="3" xfId="6" applyNumberFormat="1" applyFont="1" applyFill="1" applyBorder="1" applyAlignment="1">
      <alignment horizontal="center" wrapText="1"/>
    </xf>
    <xf numFmtId="4" fontId="27" fillId="0" borderId="5" xfId="6" applyNumberFormat="1" applyFont="1" applyFill="1" applyBorder="1" applyAlignment="1">
      <alignment horizontal="center" wrapText="1"/>
    </xf>
    <xf numFmtId="2" fontId="26" fillId="0" borderId="32" xfId="6" applyNumberFormat="1" applyFont="1" applyFill="1" applyBorder="1" applyAlignment="1">
      <alignment horizontal="left" wrapText="1"/>
    </xf>
    <xf numFmtId="2" fontId="26" fillId="0" borderId="1" xfId="6" applyNumberFormat="1" applyFont="1" applyFill="1" applyBorder="1" applyAlignment="1">
      <alignment horizontal="left" wrapText="1"/>
    </xf>
    <xf numFmtId="2" fontId="26" fillId="0" borderId="33" xfId="6" applyNumberFormat="1" applyFont="1" applyFill="1" applyBorder="1" applyAlignment="1">
      <alignment horizontal="left" wrapText="1"/>
    </xf>
    <xf numFmtId="1" fontId="25" fillId="0" borderId="8" xfId="6" applyNumberFormat="1" applyFont="1" applyFill="1" applyBorder="1" applyAlignment="1">
      <alignment horizontal="center" vertical="center" wrapText="1"/>
    </xf>
    <xf numFmtId="1" fontId="25" fillId="0" borderId="10" xfId="6" applyNumberFormat="1" applyFont="1" applyFill="1" applyBorder="1" applyAlignment="1">
      <alignment horizontal="center" vertical="center" wrapText="1"/>
    </xf>
    <xf numFmtId="1" fontId="25" fillId="0" borderId="9" xfId="6" applyNumberFormat="1" applyFont="1" applyFill="1" applyBorder="1" applyAlignment="1">
      <alignment horizontal="center" vertical="center" wrapText="1"/>
    </xf>
    <xf numFmtId="2" fontId="25" fillId="0" borderId="8" xfId="6" applyNumberFormat="1" applyFont="1" applyFill="1" applyBorder="1" applyAlignment="1">
      <alignment horizontal="left" wrapText="1"/>
    </xf>
    <xf numFmtId="2" fontId="25" fillId="0" borderId="10" xfId="6" applyNumberFormat="1" applyFont="1" applyFill="1" applyBorder="1" applyAlignment="1">
      <alignment horizontal="left" wrapText="1"/>
    </xf>
    <xf numFmtId="2" fontId="25" fillId="0" borderId="9" xfId="6" applyNumberFormat="1" applyFont="1" applyFill="1" applyBorder="1" applyAlignment="1">
      <alignment horizontal="left" wrapText="1"/>
    </xf>
    <xf numFmtId="2" fontId="26" fillId="0" borderId="3" xfId="6" applyNumberFormat="1" applyFont="1" applyFill="1" applyBorder="1" applyAlignment="1">
      <alignment horizontal="center"/>
    </xf>
    <xf numFmtId="4" fontId="27" fillId="0" borderId="14" xfId="6" applyNumberFormat="1" applyFont="1" applyFill="1" applyBorder="1" applyAlignment="1">
      <alignment horizontal="center" wrapText="1"/>
    </xf>
    <xf numFmtId="4" fontId="27" fillId="0" borderId="15" xfId="6" applyNumberFormat="1" applyFont="1" applyFill="1" applyBorder="1" applyAlignment="1">
      <alignment horizontal="center" wrapText="1"/>
    </xf>
    <xf numFmtId="4" fontId="27" fillId="0" borderId="16" xfId="6" applyNumberFormat="1" applyFont="1" applyFill="1" applyBorder="1" applyAlignment="1">
      <alignment horizontal="center" wrapText="1"/>
    </xf>
    <xf numFmtId="4" fontId="27" fillId="0" borderId="18" xfId="6" applyNumberFormat="1" applyFont="1" applyFill="1" applyBorder="1" applyAlignment="1">
      <alignment horizontal="center" wrapText="1"/>
    </xf>
    <xf numFmtId="4" fontId="27" fillId="0" borderId="26" xfId="6" applyNumberFormat="1" applyFont="1" applyFill="1" applyBorder="1" applyAlignment="1">
      <alignment horizontal="center" wrapText="1"/>
    </xf>
    <xf numFmtId="4" fontId="27" fillId="0" borderId="28" xfId="6" applyNumberFormat="1" applyFont="1" applyFill="1" applyBorder="1" applyAlignment="1">
      <alignment horizontal="center" wrapText="1"/>
    </xf>
    <xf numFmtId="4" fontId="32" fillId="0" borderId="43" xfId="6" applyNumberFormat="1" applyFont="1" applyFill="1" applyBorder="1" applyAlignment="1">
      <alignment horizontal="center" wrapText="1"/>
    </xf>
    <xf numFmtId="4" fontId="32" fillId="0" borderId="44" xfId="6" applyNumberFormat="1" applyFont="1" applyFill="1" applyBorder="1" applyAlignment="1">
      <alignment horizontal="center" wrapText="1"/>
    </xf>
    <xf numFmtId="4" fontId="32" fillId="0" borderId="45" xfId="6" applyNumberFormat="1" applyFont="1" applyFill="1" applyBorder="1" applyAlignment="1">
      <alignment horizontal="center" wrapText="1"/>
    </xf>
    <xf numFmtId="4" fontId="27" fillId="0" borderId="6" xfId="6" applyNumberFormat="1" applyFont="1" applyFill="1" applyBorder="1" applyAlignment="1">
      <alignment horizontal="center" wrapText="1"/>
    </xf>
    <xf numFmtId="4" fontId="27" fillId="0" borderId="7" xfId="6" applyNumberFormat="1" applyFont="1" applyFill="1" applyBorder="1" applyAlignment="1">
      <alignment horizontal="center" wrapText="1"/>
    </xf>
    <xf numFmtId="4" fontId="27" fillId="0" borderId="43" xfId="6" applyNumberFormat="1" applyFont="1" applyFill="1" applyBorder="1" applyAlignment="1">
      <alignment horizontal="center" wrapText="1"/>
    </xf>
    <xf numFmtId="4" fontId="27" fillId="0" borderId="44" xfId="6" applyNumberFormat="1" applyFont="1" applyFill="1" applyBorder="1" applyAlignment="1">
      <alignment horizontal="center" wrapText="1"/>
    </xf>
    <xf numFmtId="4" fontId="27" fillId="0" borderId="45" xfId="6" applyNumberFormat="1" applyFont="1" applyFill="1" applyBorder="1" applyAlignment="1">
      <alignment horizontal="center" wrapText="1"/>
    </xf>
    <xf numFmtId="2" fontId="26" fillId="0" borderId="8" xfId="6" applyNumberFormat="1" applyFont="1" applyFill="1" applyBorder="1" applyAlignment="1">
      <alignment horizontal="center" wrapText="1"/>
    </xf>
    <xf numFmtId="2" fontId="26" fillId="0" borderId="10" xfId="6" applyNumberFormat="1" applyFont="1" applyFill="1" applyBorder="1" applyAlignment="1">
      <alignment horizontal="center" wrapText="1"/>
    </xf>
    <xf numFmtId="2" fontId="26" fillId="0" borderId="9" xfId="6" applyNumberFormat="1" applyFont="1" applyFill="1" applyBorder="1" applyAlignment="1">
      <alignment horizontal="center" wrapText="1"/>
    </xf>
    <xf numFmtId="1" fontId="25" fillId="0" borderId="8" xfId="6" applyNumberFormat="1" applyFont="1" applyFill="1" applyBorder="1" applyAlignment="1">
      <alignment horizontal="center" wrapText="1"/>
    </xf>
    <xf numFmtId="1" fontId="25" fillId="0" borderId="10" xfId="6" applyNumberFormat="1" applyFont="1" applyFill="1" applyBorder="1" applyAlignment="1">
      <alignment horizontal="center" wrapText="1"/>
    </xf>
    <xf numFmtId="1" fontId="25" fillId="0" borderId="9" xfId="6" applyNumberFormat="1" applyFont="1" applyFill="1" applyBorder="1" applyAlignment="1">
      <alignment horizontal="center" wrapText="1"/>
    </xf>
    <xf numFmtId="2" fontId="25" fillId="0" borderId="8" xfId="6" applyNumberFormat="1" applyFont="1" applyFill="1" applyBorder="1" applyAlignment="1">
      <alignment horizontal="center" wrapText="1"/>
    </xf>
    <xf numFmtId="2" fontId="25" fillId="0" borderId="10" xfId="6" applyNumberFormat="1" applyFont="1" applyFill="1" applyBorder="1" applyAlignment="1">
      <alignment horizontal="center" wrapText="1"/>
    </xf>
    <xf numFmtId="2" fontId="25" fillId="0" borderId="9" xfId="6" applyNumberFormat="1" applyFont="1" applyFill="1" applyBorder="1" applyAlignment="1">
      <alignment horizontal="center" wrapText="1"/>
    </xf>
    <xf numFmtId="4" fontId="25" fillId="0" borderId="8" xfId="6" applyNumberFormat="1" applyFont="1" applyFill="1" applyBorder="1" applyAlignment="1">
      <alignment horizontal="center" wrapText="1"/>
    </xf>
    <xf numFmtId="4" fontId="25" fillId="0" borderId="10" xfId="6" applyNumberFormat="1" applyFont="1" applyFill="1" applyBorder="1" applyAlignment="1">
      <alignment horizontal="center" wrapText="1"/>
    </xf>
    <xf numFmtId="4" fontId="25" fillId="0" borderId="9" xfId="6" applyNumberFormat="1" applyFont="1" applyFill="1" applyBorder="1" applyAlignment="1">
      <alignment horizontal="center" wrapText="1"/>
    </xf>
    <xf numFmtId="4" fontId="28" fillId="0" borderId="8" xfId="6" applyNumberFormat="1" applyFont="1" applyFill="1" applyBorder="1" applyAlignment="1">
      <alignment horizontal="center" wrapText="1"/>
    </xf>
    <xf numFmtId="4" fontId="28" fillId="0" borderId="10" xfId="6" applyNumberFormat="1" applyFont="1" applyFill="1" applyBorder="1" applyAlignment="1">
      <alignment horizontal="center" wrapText="1"/>
    </xf>
    <xf numFmtId="4" fontId="28" fillId="0" borderId="9" xfId="6" applyNumberFormat="1" applyFont="1" applyFill="1" applyBorder="1" applyAlignment="1">
      <alignment horizontal="center" wrapText="1"/>
    </xf>
    <xf numFmtId="4" fontId="28" fillId="0" borderId="32" xfId="6" applyNumberFormat="1" applyFont="1" applyFill="1" applyBorder="1" applyAlignment="1">
      <alignment horizontal="center" wrapText="1"/>
    </xf>
    <xf numFmtId="4" fontId="28" fillId="0" borderId="1" xfId="6" applyNumberFormat="1" applyFont="1" applyFill="1" applyBorder="1" applyAlignment="1">
      <alignment horizontal="center" wrapText="1"/>
    </xf>
    <xf numFmtId="4" fontId="28" fillId="0" borderId="33" xfId="6" applyNumberFormat="1" applyFont="1" applyFill="1" applyBorder="1" applyAlignment="1">
      <alignment horizontal="center" wrapText="1"/>
    </xf>
    <xf numFmtId="4" fontId="27" fillId="0" borderId="35" xfId="6" applyNumberFormat="1" applyFont="1" applyFill="1" applyBorder="1" applyAlignment="1">
      <alignment horizontal="center"/>
    </xf>
    <xf numFmtId="4" fontId="27" fillId="0" borderId="36" xfId="6" applyNumberFormat="1" applyFont="1" applyFill="1" applyBorder="1" applyAlignment="1">
      <alignment horizontal="center"/>
    </xf>
    <xf numFmtId="4" fontId="27" fillId="0" borderId="37" xfId="6" applyNumberFormat="1" applyFont="1" applyFill="1" applyBorder="1" applyAlignment="1">
      <alignment horizontal="center"/>
    </xf>
    <xf numFmtId="4" fontId="27" fillId="0" borderId="39" xfId="6" applyNumberFormat="1" applyFont="1" applyFill="1" applyBorder="1" applyAlignment="1">
      <alignment horizontal="center"/>
    </xf>
    <xf numFmtId="4" fontId="27" fillId="0" borderId="38" xfId="6" applyNumberFormat="1" applyFont="1" applyFill="1" applyBorder="1" applyAlignment="1">
      <alignment horizontal="center"/>
    </xf>
    <xf numFmtId="4" fontId="27" fillId="0" borderId="40" xfId="6" applyNumberFormat="1" applyFont="1" applyFill="1" applyBorder="1" applyAlignment="1">
      <alignment horizontal="center"/>
    </xf>
    <xf numFmtId="4" fontId="27" fillId="0" borderId="12" xfId="6" applyNumberFormat="1" applyFont="1" applyFill="1" applyBorder="1" applyAlignment="1">
      <alignment horizontal="center"/>
    </xf>
    <xf numFmtId="4" fontId="27" fillId="0" borderId="41" xfId="6" applyNumberFormat="1" applyFont="1" applyFill="1" applyBorder="1" applyAlignment="1">
      <alignment horizontal="center"/>
    </xf>
    <xf numFmtId="4" fontId="27" fillId="0" borderId="13" xfId="6" applyNumberFormat="1" applyFont="1" applyFill="1" applyBorder="1" applyAlignment="1">
      <alignment horizontal="center"/>
    </xf>
    <xf numFmtId="4" fontId="26" fillId="0" borderId="12" xfId="6" applyNumberFormat="1" applyFont="1" applyFill="1" applyBorder="1" applyAlignment="1">
      <alignment horizontal="center" wrapText="1"/>
    </xf>
    <xf numFmtId="4" fontId="26" fillId="0" borderId="41" xfId="6" applyNumberFormat="1" applyFont="1" applyFill="1" applyBorder="1" applyAlignment="1">
      <alignment horizontal="center" wrapText="1"/>
    </xf>
    <xf numFmtId="4" fontId="26" fillId="0" borderId="13" xfId="6" applyNumberFormat="1" applyFont="1" applyFill="1" applyBorder="1" applyAlignment="1">
      <alignment horizontal="center" wrapText="1"/>
    </xf>
    <xf numFmtId="4" fontId="32" fillId="0" borderId="1" xfId="6" applyNumberFormat="1" applyFont="1" applyFill="1" applyBorder="1" applyAlignment="1">
      <alignment horizontal="center" wrapText="1"/>
    </xf>
    <xf numFmtId="4" fontId="32" fillId="0" borderId="33" xfId="6" applyNumberFormat="1" applyFont="1" applyFill="1" applyBorder="1" applyAlignment="1">
      <alignment horizontal="center" wrapText="1"/>
    </xf>
    <xf numFmtId="4" fontId="32" fillId="0" borderId="32" xfId="6" applyNumberFormat="1" applyFont="1" applyFill="1" applyBorder="1" applyAlignment="1">
      <alignment horizontal="center" wrapText="1"/>
    </xf>
    <xf numFmtId="1" fontId="26" fillId="0" borderId="31" xfId="6" applyNumberFormat="1" applyFont="1" applyFill="1" applyBorder="1" applyAlignment="1">
      <alignment horizontal="center" wrapText="1"/>
    </xf>
    <xf numFmtId="1" fontId="26" fillId="0" borderId="0" xfId="6" applyNumberFormat="1" applyFont="1" applyFill="1" applyBorder="1" applyAlignment="1">
      <alignment horizontal="center" wrapText="1"/>
    </xf>
    <xf numFmtId="1" fontId="26" fillId="0" borderId="4" xfId="6" applyNumberFormat="1" applyFont="1" applyFill="1" applyBorder="1" applyAlignment="1">
      <alignment horizontal="center" wrapText="1"/>
    </xf>
    <xf numFmtId="4" fontId="26" fillId="0" borderId="31" xfId="6" applyNumberFormat="1" applyFont="1" applyFill="1" applyBorder="1" applyAlignment="1">
      <alignment horizontal="center" wrapText="1"/>
    </xf>
    <xf numFmtId="2" fontId="26" fillId="0" borderId="8" xfId="0" applyNumberFormat="1" applyFont="1" applyFill="1" applyBorder="1" applyAlignment="1">
      <alignment horizontal="left" wrapText="1"/>
    </xf>
    <xf numFmtId="2" fontId="26" fillId="0" borderId="10" xfId="0" applyNumberFormat="1" applyFont="1" applyFill="1" applyBorder="1" applyAlignment="1">
      <alignment horizontal="left" wrapText="1"/>
    </xf>
    <xf numFmtId="2" fontId="26" fillId="0" borderId="9" xfId="0" applyNumberFormat="1" applyFont="1" applyFill="1" applyBorder="1" applyAlignment="1">
      <alignment horizontal="left" wrapText="1"/>
    </xf>
    <xf numFmtId="1" fontId="26" fillId="0" borderId="3" xfId="6" applyNumberFormat="1" applyFont="1" applyFill="1" applyBorder="1" applyAlignment="1">
      <alignment horizontal="center" vertical="top" wrapText="1"/>
    </xf>
    <xf numFmtId="1" fontId="26" fillId="0" borderId="3" xfId="6" applyNumberFormat="1" applyFont="1" applyFill="1" applyBorder="1" applyAlignment="1">
      <alignment horizontal="center" vertical="top"/>
    </xf>
    <xf numFmtId="1" fontId="27" fillId="0" borderId="3" xfId="6" applyNumberFormat="1" applyFont="1" applyFill="1" applyBorder="1" applyAlignment="1">
      <alignment horizontal="center" vertical="top" wrapText="1"/>
    </xf>
    <xf numFmtId="1" fontId="27" fillId="0" borderId="3" xfId="6" applyNumberFormat="1" applyFont="1" applyFill="1" applyBorder="1" applyAlignment="1">
      <alignment horizontal="center" vertical="top"/>
    </xf>
    <xf numFmtId="4" fontId="26" fillId="0" borderId="5" xfId="6" applyNumberFormat="1" applyFont="1" applyFill="1" applyBorder="1" applyAlignment="1">
      <alignment horizontal="center" wrapText="1"/>
    </xf>
    <xf numFmtId="2" fontId="26" fillId="0" borderId="3" xfId="6" applyNumberFormat="1" applyFont="1" applyFill="1" applyBorder="1" applyAlignment="1">
      <alignment horizontal="center" vertical="top" wrapText="1"/>
    </xf>
    <xf numFmtId="2" fontId="26" fillId="0" borderId="3" xfId="6" applyNumberFormat="1" applyFont="1" applyFill="1" applyBorder="1" applyAlignment="1">
      <alignment horizontal="left" vertical="top" wrapText="1"/>
    </xf>
    <xf numFmtId="2" fontId="27" fillId="0" borderId="3" xfId="6" applyNumberFormat="1" applyFont="1" applyFill="1" applyBorder="1" applyAlignment="1">
      <alignment horizontal="center" vertical="top" wrapText="1"/>
    </xf>
    <xf numFmtId="0" fontId="26" fillId="0" borderId="5" xfId="6" applyFont="1" applyFill="1" applyBorder="1" applyAlignment="1">
      <alignment horizontal="left" wrapText="1"/>
    </xf>
    <xf numFmtId="49" fontId="26" fillId="0" borderId="3" xfId="6" applyNumberFormat="1" applyFont="1" applyFill="1" applyBorder="1" applyAlignment="1">
      <alignment horizontal="center" wrapText="1"/>
    </xf>
    <xf numFmtId="2" fontId="26" fillId="0" borderId="3" xfId="6" applyNumberFormat="1" applyFont="1" applyFill="1" applyBorder="1" applyAlignment="1">
      <alignment horizontal="center" wrapText="1"/>
    </xf>
    <xf numFmtId="4" fontId="26" fillId="0" borderId="35" xfId="6" applyNumberFormat="1" applyFont="1" applyFill="1" applyBorder="1" applyAlignment="1">
      <alignment horizontal="center"/>
    </xf>
    <xf numFmtId="4" fontId="26" fillId="0" borderId="36" xfId="6" applyNumberFormat="1" applyFont="1" applyFill="1" applyBorder="1" applyAlignment="1">
      <alignment horizontal="center"/>
    </xf>
    <xf numFmtId="4" fontId="26" fillId="0" borderId="37" xfId="6" applyNumberFormat="1" applyFont="1" applyFill="1" applyBorder="1" applyAlignment="1">
      <alignment horizontal="center"/>
    </xf>
    <xf numFmtId="4" fontId="26" fillId="0" borderId="39" xfId="6" applyNumberFormat="1" applyFont="1" applyFill="1" applyBorder="1" applyAlignment="1">
      <alignment horizontal="center"/>
    </xf>
    <xf numFmtId="4" fontId="26" fillId="0" borderId="38" xfId="6" applyNumberFormat="1" applyFont="1" applyFill="1" applyBorder="1" applyAlignment="1">
      <alignment horizontal="center"/>
    </xf>
    <xf numFmtId="4" fontId="26" fillId="0" borderId="40" xfId="6" applyNumberFormat="1" applyFont="1" applyFill="1" applyBorder="1" applyAlignment="1">
      <alignment horizontal="center"/>
    </xf>
    <xf numFmtId="0" fontId="26" fillId="0" borderId="6" xfId="6" applyFont="1" applyFill="1" applyBorder="1" applyAlignment="1">
      <alignment horizontal="left" wrapText="1"/>
    </xf>
    <xf numFmtId="0" fontId="26" fillId="0" borderId="29" xfId="6" applyFont="1" applyFill="1" applyBorder="1" applyAlignment="1">
      <alignment horizontal="left" wrapText="1"/>
    </xf>
    <xf numFmtId="0" fontId="26" fillId="0" borderId="2" xfId="6" applyFont="1" applyFill="1" applyBorder="1" applyAlignment="1">
      <alignment horizontal="left" wrapText="1"/>
    </xf>
    <xf numFmtId="0" fontId="26" fillId="0" borderId="30" xfId="6" applyFont="1" applyFill="1" applyBorder="1" applyAlignment="1">
      <alignment horizontal="left" wrapText="1"/>
    </xf>
    <xf numFmtId="0" fontId="26" fillId="0" borderId="3" xfId="6" applyFont="1" applyFill="1" applyBorder="1" applyAlignment="1">
      <alignment horizontal="center"/>
    </xf>
    <xf numFmtId="4" fontId="26" fillId="0" borderId="7" xfId="6" applyNumberFormat="1" applyFont="1" applyFill="1" applyBorder="1" applyAlignment="1">
      <alignment horizontal="center"/>
    </xf>
    <xf numFmtId="0" fontId="26" fillId="0" borderId="3" xfId="6" applyFont="1" applyFill="1" applyBorder="1" applyAlignment="1">
      <alignment horizontal="left" wrapText="1"/>
    </xf>
    <xf numFmtId="4" fontId="27" fillId="0" borderId="43" xfId="6" applyNumberFormat="1" applyFont="1" applyFill="1" applyBorder="1" applyAlignment="1">
      <alignment horizontal="center"/>
    </xf>
    <xf numFmtId="4" fontId="27" fillId="0" borderId="44" xfId="6" applyNumberFormat="1" applyFont="1" applyFill="1" applyBorder="1" applyAlignment="1">
      <alignment horizontal="center"/>
    </xf>
    <xf numFmtId="4" fontId="27" fillId="0" borderId="45" xfId="6" applyNumberFormat="1" applyFont="1" applyFill="1" applyBorder="1" applyAlignment="1">
      <alignment horizontal="center"/>
    </xf>
    <xf numFmtId="4" fontId="27" fillId="0" borderId="42" xfId="6" applyNumberFormat="1" applyFont="1" applyFill="1" applyBorder="1" applyAlignment="1">
      <alignment horizontal="center" wrapText="1"/>
    </xf>
    <xf numFmtId="4" fontId="26" fillId="0" borderId="43" xfId="6" applyNumberFormat="1" applyFont="1" applyFill="1" applyBorder="1" applyAlignment="1">
      <alignment horizontal="center"/>
    </xf>
    <xf numFmtId="4" fontId="26" fillId="0" borderId="44" xfId="6" applyNumberFormat="1" applyFont="1" applyFill="1" applyBorder="1" applyAlignment="1">
      <alignment horizontal="center"/>
    </xf>
    <xf numFmtId="4" fontId="26" fillId="0" borderId="45" xfId="6" applyNumberFormat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left"/>
    </xf>
    <xf numFmtId="0" fontId="7" fillId="0" borderId="10" xfId="1" applyFont="1" applyFill="1" applyBorder="1" applyAlignment="1">
      <alignment horizontal="left"/>
    </xf>
    <xf numFmtId="0" fontId="7" fillId="0" borderId="9" xfId="1" applyFont="1" applyFill="1" applyBorder="1" applyAlignment="1">
      <alignment horizontal="left"/>
    </xf>
    <xf numFmtId="1" fontId="9" fillId="0" borderId="5" xfId="1" applyNumberFormat="1" applyFont="1" applyBorder="1" applyAlignment="1">
      <alignment horizontal="center" wrapText="1"/>
    </xf>
    <xf numFmtId="1" fontId="9" fillId="0" borderId="7" xfId="1" applyNumberFormat="1" applyFont="1" applyBorder="1" applyAlignment="1">
      <alignment horizontal="center" wrapText="1"/>
    </xf>
    <xf numFmtId="1" fontId="9" fillId="0" borderId="6" xfId="1" applyNumberFormat="1" applyFont="1" applyBorder="1" applyAlignment="1">
      <alignment horizontal="center" wrapText="1"/>
    </xf>
    <xf numFmtId="1" fontId="9" fillId="0" borderId="5" xfId="1" applyNumberFormat="1" applyFont="1" applyFill="1" applyBorder="1" applyAlignment="1">
      <alignment horizontal="center" wrapText="1"/>
    </xf>
    <xf numFmtId="1" fontId="9" fillId="0" borderId="7" xfId="1" applyNumberFormat="1" applyFont="1" applyFill="1" applyBorder="1" applyAlignment="1">
      <alignment horizontal="center" wrapText="1"/>
    </xf>
    <xf numFmtId="1" fontId="9" fillId="0" borderId="6" xfId="1" applyNumberFormat="1" applyFont="1" applyFill="1" applyBorder="1" applyAlignment="1">
      <alignment horizontal="center" wrapText="1"/>
    </xf>
    <xf numFmtId="1" fontId="9" fillId="0" borderId="5" xfId="1" applyNumberFormat="1" applyFont="1" applyFill="1" applyBorder="1" applyAlignment="1">
      <alignment horizontal="center" vertical="center"/>
    </xf>
    <xf numFmtId="1" fontId="9" fillId="0" borderId="7" xfId="1" applyNumberFormat="1" applyFont="1" applyFill="1" applyBorder="1" applyAlignment="1">
      <alignment horizontal="center" vertical="center"/>
    </xf>
    <xf numFmtId="1" fontId="9" fillId="0" borderId="6" xfId="1" applyNumberFormat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wrapText="1"/>
    </xf>
    <xf numFmtId="0" fontId="3" fillId="0" borderId="10" xfId="1" applyFont="1" applyFill="1" applyBorder="1" applyAlignment="1">
      <alignment horizontal="center" wrapText="1"/>
    </xf>
    <xf numFmtId="0" fontId="3" fillId="0" borderId="9" xfId="1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7" fillId="4" borderId="35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wrapText="1"/>
    </xf>
    <xf numFmtId="0" fontId="3" fillId="0" borderId="50" xfId="0" applyFont="1" applyBorder="1" applyAlignment="1">
      <alignment horizontal="center" vertical="top"/>
    </xf>
    <xf numFmtId="0" fontId="3" fillId="0" borderId="53" xfId="0" applyFont="1" applyBorder="1" applyAlignment="1">
      <alignment horizontal="center" vertical="top"/>
    </xf>
    <xf numFmtId="0" fontId="3" fillId="0" borderId="47" xfId="0" applyFont="1" applyBorder="1" applyAlignment="1">
      <alignment horizontal="center" vertical="top"/>
    </xf>
    <xf numFmtId="0" fontId="42" fillId="0" borderId="8" xfId="15" applyNumberFormat="1" applyFont="1" applyBorder="1" applyAlignment="1">
      <alignment horizontal="left" vertical="top" wrapText="1"/>
    </xf>
    <xf numFmtId="0" fontId="42" fillId="0" borderId="10" xfId="0" applyFont="1" applyBorder="1" applyAlignment="1">
      <alignment horizontal="left" vertical="top" wrapText="1"/>
    </xf>
    <xf numFmtId="0" fontId="42" fillId="0" borderId="9" xfId="0" applyFont="1" applyBorder="1" applyAlignment="1">
      <alignment horizontal="left" vertical="top" wrapText="1"/>
    </xf>
    <xf numFmtId="0" fontId="34" fillId="0" borderId="0" xfId="0" applyNumberFormat="1" applyFont="1" applyAlignment="1">
      <alignment horizontal="center"/>
    </xf>
    <xf numFmtId="0" fontId="34" fillId="0" borderId="0" xfId="0" applyNumberFormat="1" applyFont="1" applyAlignment="1">
      <alignment horizontal="center" wrapText="1"/>
    </xf>
    <xf numFmtId="0" fontId="36" fillId="0" borderId="0" xfId="0" applyNumberFormat="1" applyFont="1" applyAlignment="1">
      <alignment horizontal="left" vertical="top" wrapText="1"/>
    </xf>
    <xf numFmtId="0" fontId="36" fillId="0" borderId="0" xfId="0" applyNumberFormat="1" applyFont="1" applyAlignment="1">
      <alignment horizontal="left" vertical="top"/>
    </xf>
    <xf numFmtId="0" fontId="38" fillId="0" borderId="0" xfId="0" applyNumberFormat="1" applyFont="1" applyAlignment="1">
      <alignment horizontal="center"/>
    </xf>
    <xf numFmtId="0" fontId="42" fillId="0" borderId="29" xfId="0" applyFont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42" fillId="0" borderId="30" xfId="0" applyFont="1" applyBorder="1" applyAlignment="1">
      <alignment vertical="top" wrapText="1"/>
    </xf>
    <xf numFmtId="0" fontId="42" fillId="0" borderId="32" xfId="0" applyFont="1" applyBorder="1" applyAlignment="1">
      <alignment vertical="top" wrapText="1"/>
    </xf>
    <xf numFmtId="0" fontId="42" fillId="0" borderId="1" xfId="0" applyFont="1" applyBorder="1" applyAlignment="1">
      <alignment vertical="top" wrapText="1"/>
    </xf>
    <xf numFmtId="0" fontId="42" fillId="0" borderId="33" xfId="0" applyFont="1" applyBorder="1" applyAlignment="1">
      <alignment vertical="top" wrapText="1"/>
    </xf>
    <xf numFmtId="0" fontId="42" fillId="0" borderId="29" xfId="0" applyFont="1" applyBorder="1" applyAlignment="1">
      <alignment horizontal="justify" vertical="top"/>
    </xf>
    <xf numFmtId="0" fontId="42" fillId="0" borderId="2" xfId="0" applyFont="1" applyBorder="1" applyAlignment="1">
      <alignment vertical="top"/>
    </xf>
    <xf numFmtId="0" fontId="42" fillId="0" borderId="2" xfId="0" applyFont="1" applyBorder="1" applyAlignment="1">
      <alignment horizontal="justify" vertical="top" wrapText="1"/>
    </xf>
    <xf numFmtId="0" fontId="42" fillId="0" borderId="31" xfId="0" applyFont="1" applyBorder="1" applyAlignment="1">
      <alignment horizontal="justify" vertical="top" wrapText="1"/>
    </xf>
    <xf numFmtId="0" fontId="42" fillId="0" borderId="0" xfId="0" applyFont="1" applyBorder="1" applyAlignment="1">
      <alignment vertical="top" wrapText="1"/>
    </xf>
    <xf numFmtId="0" fontId="42" fillId="0" borderId="4" xfId="0" applyFont="1" applyBorder="1" applyAlignment="1">
      <alignment vertical="top" wrapText="1"/>
    </xf>
    <xf numFmtId="0" fontId="42" fillId="0" borderId="31" xfId="0" applyFont="1" applyBorder="1" applyAlignment="1">
      <alignment vertical="top" wrapText="1"/>
    </xf>
    <xf numFmtId="0" fontId="42" fillId="5" borderId="0" xfId="0" applyFont="1" applyFill="1" applyBorder="1" applyAlignment="1">
      <alignment horizontal="justify" vertical="top" wrapText="1"/>
    </xf>
    <xf numFmtId="0" fontId="42" fillId="0" borderId="32" xfId="15" applyNumberFormat="1" applyFont="1" applyBorder="1" applyAlignment="1">
      <alignment horizontal="left" vertical="top" wrapText="1"/>
    </xf>
    <xf numFmtId="0" fontId="42" fillId="0" borderId="1" xfId="0" applyFont="1" applyBorder="1" applyAlignment="1">
      <alignment horizontal="left" vertical="top" wrapText="1"/>
    </xf>
    <xf numFmtId="0" fontId="42" fillId="0" borderId="32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2" fillId="0" borderId="1" xfId="0" applyFont="1" applyBorder="1" applyAlignment="1">
      <alignment horizontal="center" vertical="top"/>
    </xf>
    <xf numFmtId="0" fontId="0" fillId="0" borderId="33" xfId="0" applyBorder="1" applyAlignment="1">
      <alignment horizontal="center" vertical="top"/>
    </xf>
    <xf numFmtId="0" fontId="36" fillId="0" borderId="0" xfId="0" applyNumberFormat="1" applyFont="1" applyAlignment="1">
      <alignment horizontal="left" wrapText="1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4"/>
    <cellStyle name="Обычный 2 3" xfId="5"/>
    <cellStyle name="Обычный 2 4" xfId="2"/>
    <cellStyle name="Обычный 3" xfId="3"/>
    <cellStyle name="Обычный 4" xfId="6"/>
    <cellStyle name="Обычный 5" xfId="7"/>
    <cellStyle name="Обычный 7 2" xfId="8"/>
    <cellStyle name="Обычный 7 3" xfId="9"/>
    <cellStyle name="Обычный_Лист1" xfId="15"/>
    <cellStyle name="Процентный 2" xfId="10"/>
    <cellStyle name="Процентный 2 2" xfId="11"/>
    <cellStyle name="Процентный 3" xfId="12"/>
    <cellStyle name="Процентный 4" xfId="13"/>
    <cellStyle name="Финансовый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7;&#1090;&#1088;&#1086;&#1074;&#1072;%20&#1053;&#1072;&#1076;&#1077;&#1078;&#1076;&#1072;/&#1041;&#1070;&#1044;&#1046;&#1045;&#1058;%202020/&#1055;&#1060;&#1061;&#1044;/155/112%20&#1055;&#1060;&#1061;&#1044;%202020%20&#1079;&#1072;&#1082;&#1091;&#1087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Форма"/>
      <sheetName val="Утверждено (МЗ,ОП,ИЦ,КАП)"/>
      <sheetName val="Утверждено (ПДД)"/>
      <sheetName val="Закупки"/>
      <sheetName val="информ."/>
    </sheetNames>
    <sheetDataSet>
      <sheetData sheetId="0"/>
      <sheetData sheetId="1">
        <row r="172">
          <cell r="F172" t="str">
            <v>на 2020 г. текущий финансовый год</v>
          </cell>
        </row>
        <row r="179">
          <cell r="F179">
            <v>0</v>
          </cell>
          <cell r="G179">
            <v>0</v>
          </cell>
          <cell r="H179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</row>
      </sheetData>
      <sheetData sheetId="2">
        <row r="6">
          <cell r="A6" t="str">
            <v>911 0709 09100 29180 611 241</v>
          </cell>
        </row>
      </sheetData>
      <sheetData sheetId="3">
        <row r="51">
          <cell r="G51" t="str">
            <v>911 0000 00000 00000 000 241</v>
          </cell>
        </row>
      </sheetData>
      <sheetData sheetId="4">
        <row r="8">
          <cell r="I8">
            <v>0</v>
          </cell>
        </row>
      </sheetData>
      <sheetData sheetId="5">
        <row r="11">
          <cell r="B11">
            <v>630513.92999999993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view="pageBreakPreview" topLeftCell="A28" zoomScale="90" zoomScaleNormal="100" zoomScaleSheetLayoutView="90" workbookViewId="0">
      <selection activeCell="I38" sqref="I38:I39"/>
    </sheetView>
  </sheetViews>
  <sheetFormatPr defaultRowHeight="15" x14ac:dyDescent="0.25"/>
  <cols>
    <col min="1" max="1" width="6.7109375" style="1" customWidth="1"/>
    <col min="2" max="2" width="45.85546875" style="2" customWidth="1"/>
    <col min="3" max="3" width="9.140625" style="1"/>
    <col min="4" max="4" width="13.28515625" style="1" customWidth="1"/>
    <col min="5" max="5" width="10.85546875" style="1" customWidth="1"/>
    <col min="6" max="6" width="15.85546875" style="1" customWidth="1"/>
    <col min="7" max="8" width="14.7109375" style="1" customWidth="1"/>
    <col min="9" max="9" width="12.7109375" style="1" customWidth="1"/>
    <col min="10" max="10" width="8" customWidth="1"/>
    <col min="11" max="11" width="7.140625" style="228" bestFit="1" customWidth="1"/>
    <col min="12" max="12" width="18.42578125" style="228" customWidth="1"/>
    <col min="13" max="13" width="102.42578125" style="214" customWidth="1"/>
  </cols>
  <sheetData>
    <row r="1" spans="1:13" x14ac:dyDescent="0.25">
      <c r="K1" s="23" t="s">
        <v>161</v>
      </c>
      <c r="L1" s="23" t="s">
        <v>162</v>
      </c>
      <c r="M1" s="214" t="s">
        <v>163</v>
      </c>
    </row>
    <row r="4" spans="1:13" x14ac:dyDescent="0.25">
      <c r="G4" s="355" t="s">
        <v>0</v>
      </c>
      <c r="H4" s="355"/>
      <c r="I4" s="355"/>
    </row>
    <row r="5" spans="1:13" ht="30" customHeight="1" x14ac:dyDescent="0.25">
      <c r="G5" s="356" t="s">
        <v>164</v>
      </c>
      <c r="H5" s="356"/>
      <c r="I5" s="356"/>
    </row>
    <row r="6" spans="1:13" ht="55.5" customHeight="1" x14ac:dyDescent="0.25">
      <c r="G6" s="357" t="s">
        <v>1</v>
      </c>
      <c r="H6" s="357"/>
      <c r="I6" s="357"/>
    </row>
    <row r="7" spans="1:13" x14ac:dyDescent="0.25">
      <c r="G7" s="230"/>
      <c r="H7" s="230"/>
      <c r="I7" s="230"/>
    </row>
    <row r="8" spans="1:13" x14ac:dyDescent="0.25">
      <c r="G8" s="358" t="s">
        <v>769</v>
      </c>
      <c r="H8" s="358"/>
      <c r="I8" s="358"/>
    </row>
    <row r="9" spans="1:13" x14ac:dyDescent="0.25">
      <c r="G9" s="359" t="s">
        <v>627</v>
      </c>
      <c r="H9" s="359"/>
      <c r="I9" s="359"/>
    </row>
    <row r="10" spans="1:13" x14ac:dyDescent="0.25">
      <c r="G10" s="231"/>
      <c r="H10" s="231"/>
      <c r="I10" s="231"/>
    </row>
    <row r="11" spans="1:13" x14ac:dyDescent="0.25">
      <c r="G11" s="360" t="str">
        <f>G20</f>
        <v>«  28  » мая 2021 г.</v>
      </c>
      <c r="H11" s="360"/>
      <c r="I11" s="360"/>
    </row>
    <row r="12" spans="1:13" x14ac:dyDescent="0.25">
      <c r="G12" s="229"/>
      <c r="H12" s="229"/>
      <c r="I12" s="3"/>
    </row>
    <row r="13" spans="1:13" x14ac:dyDescent="0.25">
      <c r="B13" s="3"/>
      <c r="C13" s="3"/>
      <c r="G13" s="355" t="s">
        <v>3</v>
      </c>
      <c r="H13" s="355"/>
      <c r="I13" s="355"/>
    </row>
    <row r="14" spans="1:13" x14ac:dyDescent="0.25">
      <c r="A14" s="4"/>
      <c r="B14" s="3"/>
      <c r="C14" s="5"/>
      <c r="G14" s="358" t="s">
        <v>640</v>
      </c>
      <c r="H14" s="358"/>
      <c r="I14" s="358"/>
    </row>
    <row r="15" spans="1:13" ht="32.25" customHeight="1" x14ac:dyDescent="0.25">
      <c r="A15" s="4"/>
      <c r="B15" s="3"/>
      <c r="C15" s="6"/>
      <c r="G15" s="362" t="s">
        <v>4</v>
      </c>
      <c r="H15" s="362"/>
      <c r="I15" s="362"/>
      <c r="J15" s="7"/>
      <c r="K15" s="25"/>
      <c r="L15" s="25"/>
    </row>
    <row r="16" spans="1:13" x14ac:dyDescent="0.25">
      <c r="A16" s="4"/>
      <c r="B16" s="3"/>
      <c r="C16" s="6"/>
      <c r="G16" s="230"/>
      <c r="H16" s="230"/>
      <c r="I16" s="230"/>
      <c r="J16" s="7"/>
      <c r="K16" s="25"/>
      <c r="L16" s="25"/>
    </row>
    <row r="17" spans="1:13" x14ac:dyDescent="0.25">
      <c r="A17" s="4"/>
      <c r="B17" s="3"/>
      <c r="G17" s="358" t="s">
        <v>770</v>
      </c>
      <c r="H17" s="358"/>
      <c r="I17" s="358"/>
    </row>
    <row r="18" spans="1:13" x14ac:dyDescent="0.25">
      <c r="B18" s="3"/>
      <c r="C18" s="9"/>
      <c r="G18" s="363" t="s">
        <v>627</v>
      </c>
      <c r="H18" s="363"/>
      <c r="I18" s="363"/>
    </row>
    <row r="19" spans="1:13" ht="30" x14ac:dyDescent="0.25">
      <c r="B19" s="3"/>
      <c r="C19" s="9"/>
      <c r="G19" s="231"/>
      <c r="H19" s="231"/>
      <c r="I19" s="231"/>
      <c r="M19" s="214" t="s">
        <v>165</v>
      </c>
    </row>
    <row r="20" spans="1:13" x14ac:dyDescent="0.25">
      <c r="B20" s="3"/>
      <c r="G20" s="360" t="str">
        <f>D32</f>
        <v>«  28  » мая 2021 г.</v>
      </c>
      <c r="H20" s="360"/>
      <c r="I20" s="361"/>
      <c r="M20" s="214" t="s">
        <v>166</v>
      </c>
    </row>
    <row r="21" spans="1:13" x14ac:dyDescent="0.25">
      <c r="G21" s="3"/>
      <c r="H21" s="3"/>
      <c r="I21" s="3"/>
    </row>
    <row r="22" spans="1:13" x14ac:dyDescent="0.25">
      <c r="G22" s="229"/>
      <c r="H22" s="229"/>
      <c r="I22" s="229"/>
    </row>
    <row r="23" spans="1:13" x14ac:dyDescent="0.25">
      <c r="G23" s="229"/>
      <c r="H23" s="229"/>
      <c r="I23" s="229"/>
    </row>
    <row r="24" spans="1:13" ht="15.75" customHeight="1" x14ac:dyDescent="0.25">
      <c r="C24" s="10"/>
      <c r="D24" s="10"/>
      <c r="E24" s="10"/>
      <c r="F24" s="10"/>
      <c r="G24" s="10"/>
      <c r="H24" s="10"/>
      <c r="I24" s="10"/>
    </row>
    <row r="25" spans="1:13" ht="15.75" customHeight="1" x14ac:dyDescent="0.25">
      <c r="C25" s="10"/>
      <c r="D25" s="10"/>
      <c r="E25" s="10"/>
      <c r="F25" s="10"/>
      <c r="G25" s="10"/>
      <c r="H25" s="10"/>
      <c r="I25" s="10"/>
    </row>
    <row r="26" spans="1:13" ht="15.75" x14ac:dyDescent="0.25">
      <c r="B26" s="350" t="s">
        <v>626</v>
      </c>
      <c r="C26" s="350"/>
      <c r="D26" s="350"/>
      <c r="E26" s="350"/>
      <c r="F26" s="350"/>
      <c r="G26" s="350"/>
      <c r="H26" s="350"/>
      <c r="I26" s="350"/>
    </row>
    <row r="27" spans="1:13" ht="15.75" customHeight="1" x14ac:dyDescent="0.25">
      <c r="B27" s="350" t="s">
        <v>728</v>
      </c>
      <c r="C27" s="350"/>
      <c r="D27" s="350"/>
      <c r="E27" s="350"/>
      <c r="F27" s="350"/>
      <c r="G27" s="350"/>
      <c r="H27" s="350"/>
      <c r="I27" s="350"/>
      <c r="J27" s="11"/>
    </row>
    <row r="31" spans="1:13" x14ac:dyDescent="0.25">
      <c r="I31" s="234" t="s">
        <v>5</v>
      </c>
    </row>
    <row r="32" spans="1:13" x14ac:dyDescent="0.25">
      <c r="C32" s="12" t="s">
        <v>6</v>
      </c>
      <c r="D32" s="354" t="s">
        <v>799</v>
      </c>
      <c r="E32" s="354"/>
      <c r="H32" s="351" t="s">
        <v>7</v>
      </c>
      <c r="I32" s="352">
        <v>44344</v>
      </c>
      <c r="J32" s="228" t="s">
        <v>6</v>
      </c>
      <c r="K32" s="233" t="s">
        <v>2</v>
      </c>
      <c r="M32" s="214" t="s">
        <v>168</v>
      </c>
    </row>
    <row r="33" spans="2:13" customFormat="1" x14ac:dyDescent="0.25">
      <c r="B33" s="2"/>
      <c r="C33" s="1"/>
      <c r="D33" s="1"/>
      <c r="E33" s="1"/>
      <c r="F33" s="1"/>
      <c r="G33" s="1"/>
      <c r="H33" s="351"/>
      <c r="I33" s="344"/>
      <c r="K33" s="228" t="s">
        <v>5</v>
      </c>
      <c r="L33" s="228"/>
      <c r="M33" s="214" t="s">
        <v>168</v>
      </c>
    </row>
    <row r="34" spans="2:13" customFormat="1" x14ac:dyDescent="0.25">
      <c r="B34" s="2"/>
      <c r="C34" s="1"/>
      <c r="D34" s="1"/>
      <c r="E34" s="1"/>
      <c r="F34" s="1"/>
      <c r="G34" s="346" t="s">
        <v>8</v>
      </c>
      <c r="H34" s="341"/>
      <c r="I34" s="342">
        <v>32305650</v>
      </c>
      <c r="K34" s="228"/>
      <c r="L34" s="228"/>
      <c r="M34" s="214"/>
    </row>
    <row r="35" spans="2:13" customFormat="1" x14ac:dyDescent="0.25">
      <c r="B35" s="2" t="s">
        <v>9</v>
      </c>
      <c r="C35" s="353" t="s">
        <v>169</v>
      </c>
      <c r="D35" s="353"/>
      <c r="E35" s="353"/>
      <c r="F35" s="353"/>
      <c r="G35" s="346"/>
      <c r="H35" s="341"/>
      <c r="I35" s="344"/>
      <c r="J35" s="27"/>
      <c r="K35" s="233" t="s">
        <v>488</v>
      </c>
      <c r="L35" s="228"/>
      <c r="M35" s="214"/>
    </row>
    <row r="36" spans="2:13" customFormat="1" x14ac:dyDescent="0.25">
      <c r="B36" s="2" t="s">
        <v>10</v>
      </c>
      <c r="C36" s="345" t="s">
        <v>170</v>
      </c>
      <c r="D36" s="345"/>
      <c r="E36" s="345"/>
      <c r="F36" s="345"/>
      <c r="G36" s="1"/>
      <c r="H36" s="341" t="s">
        <v>11</v>
      </c>
      <c r="I36" s="342">
        <v>911</v>
      </c>
      <c r="K36" s="228"/>
      <c r="L36" s="228"/>
      <c r="M36" s="214"/>
    </row>
    <row r="37" spans="2:13" customFormat="1" x14ac:dyDescent="0.25">
      <c r="B37" s="2"/>
      <c r="C37" s="4"/>
      <c r="D37" s="4"/>
      <c r="E37" s="4"/>
      <c r="F37" s="4"/>
      <c r="G37" s="1"/>
      <c r="H37" s="341"/>
      <c r="I37" s="344"/>
      <c r="K37" s="228"/>
      <c r="L37" s="228"/>
      <c r="M37" s="214"/>
    </row>
    <row r="38" spans="2:13" customFormat="1" x14ac:dyDescent="0.25">
      <c r="B38" s="2"/>
      <c r="C38" s="4"/>
      <c r="D38" s="4"/>
      <c r="E38" s="4"/>
      <c r="F38" s="4"/>
      <c r="G38" s="346" t="s">
        <v>8</v>
      </c>
      <c r="H38" s="341"/>
      <c r="I38" s="342" t="s">
        <v>615</v>
      </c>
      <c r="K38" s="228"/>
      <c r="L38" s="228"/>
      <c r="M38" s="214"/>
    </row>
    <row r="39" spans="2:13" customFormat="1" x14ac:dyDescent="0.25">
      <c r="B39" s="2"/>
      <c r="C39" s="4"/>
      <c r="D39" s="4"/>
      <c r="E39" s="4"/>
      <c r="F39" s="4"/>
      <c r="G39" s="346"/>
      <c r="H39" s="341"/>
      <c r="I39" s="344"/>
      <c r="J39" s="27"/>
      <c r="K39" s="233" t="s">
        <v>171</v>
      </c>
      <c r="L39" s="228"/>
      <c r="M39" s="214"/>
    </row>
    <row r="40" spans="2:13" customFormat="1" x14ac:dyDescent="0.25">
      <c r="B40" s="2"/>
      <c r="C40" s="4"/>
      <c r="D40" s="4"/>
      <c r="E40" s="4"/>
      <c r="F40" s="4"/>
      <c r="G40" s="1"/>
      <c r="H40" s="341" t="s">
        <v>12</v>
      </c>
      <c r="I40" s="342">
        <v>4207058290</v>
      </c>
      <c r="K40" s="228"/>
      <c r="L40" s="228"/>
      <c r="M40" s="214"/>
    </row>
    <row r="41" spans="2:13" customFormat="1" x14ac:dyDescent="0.25">
      <c r="B41" s="2"/>
      <c r="C41" s="4"/>
      <c r="D41" s="4"/>
      <c r="E41" s="4"/>
      <c r="F41" s="4"/>
      <c r="G41" s="1"/>
      <c r="H41" s="341"/>
      <c r="I41" s="344"/>
      <c r="K41" s="233" t="s">
        <v>171</v>
      </c>
      <c r="L41" s="228"/>
      <c r="M41" s="214"/>
    </row>
    <row r="42" spans="2:13" customFormat="1" x14ac:dyDescent="0.25">
      <c r="B42" s="2"/>
      <c r="C42" s="1"/>
      <c r="D42" s="1"/>
      <c r="E42" s="1"/>
      <c r="F42" s="1"/>
      <c r="G42" s="1"/>
      <c r="H42" s="341" t="s">
        <v>13</v>
      </c>
      <c r="I42" s="342">
        <v>420501001</v>
      </c>
      <c r="K42" s="228"/>
      <c r="L42" s="228"/>
      <c r="M42" s="214"/>
    </row>
    <row r="43" spans="2:13" customFormat="1" x14ac:dyDescent="0.25">
      <c r="B43" s="2" t="s">
        <v>14</v>
      </c>
      <c r="C43" s="347" t="s">
        <v>616</v>
      </c>
      <c r="D43" s="348"/>
      <c r="E43" s="348"/>
      <c r="F43" s="348"/>
      <c r="G43" s="1"/>
      <c r="H43" s="341"/>
      <c r="I43" s="343"/>
      <c r="K43" s="228"/>
      <c r="L43" s="228"/>
      <c r="M43" s="214"/>
    </row>
    <row r="44" spans="2:13" customFormat="1" ht="34.5" customHeight="1" x14ac:dyDescent="0.25">
      <c r="B44" s="148"/>
      <c r="C44" s="349"/>
      <c r="D44" s="349"/>
      <c r="E44" s="349"/>
      <c r="F44" s="349"/>
      <c r="G44" s="1"/>
      <c r="H44" s="341"/>
      <c r="I44" s="344"/>
      <c r="K44" s="233" t="s">
        <v>489</v>
      </c>
      <c r="L44" s="228"/>
      <c r="M44" s="214"/>
    </row>
    <row r="45" spans="2:13" customFormat="1" x14ac:dyDescent="0.25">
      <c r="B45" s="213"/>
      <c r="C45" s="4"/>
      <c r="D45" s="4"/>
      <c r="E45" s="4"/>
      <c r="F45" s="4"/>
      <c r="G45" s="1"/>
      <c r="H45" s="341" t="s">
        <v>15</v>
      </c>
      <c r="I45" s="342">
        <v>383</v>
      </c>
      <c r="K45" s="228"/>
      <c r="L45" s="228"/>
      <c r="M45" s="214"/>
    </row>
    <row r="46" spans="2:13" customFormat="1" x14ac:dyDescent="0.25">
      <c r="B46" s="2" t="s">
        <v>16</v>
      </c>
      <c r="C46" s="1"/>
      <c r="D46" s="1"/>
      <c r="E46" s="1"/>
      <c r="F46" s="1"/>
      <c r="G46" s="1"/>
      <c r="H46" s="341"/>
      <c r="I46" s="344"/>
      <c r="K46" s="228"/>
      <c r="L46" s="228"/>
      <c r="M46" s="214"/>
    </row>
    <row r="47" spans="2:13" customFormat="1" x14ac:dyDescent="0.25">
      <c r="B47" s="2"/>
      <c r="C47" s="1"/>
      <c r="D47" s="1"/>
      <c r="E47" s="1"/>
      <c r="F47" s="1"/>
      <c r="G47" s="1"/>
      <c r="H47" s="232"/>
      <c r="I47" s="232"/>
      <c r="K47" s="228"/>
      <c r="L47" s="228"/>
      <c r="M47" s="214"/>
    </row>
    <row r="48" spans="2:13" customFormat="1" x14ac:dyDescent="0.25">
      <c r="B48" s="2"/>
      <c r="C48" s="1"/>
      <c r="D48" s="1"/>
      <c r="E48" s="1"/>
      <c r="F48" s="1"/>
      <c r="G48" s="1"/>
      <c r="H48" s="232"/>
      <c r="I48" s="232"/>
      <c r="K48" s="228"/>
      <c r="L48" s="228"/>
      <c r="M48" s="214"/>
    </row>
    <row r="49" spans="8:9" customFormat="1" x14ac:dyDescent="0.25">
      <c r="H49" s="232"/>
      <c r="I49" s="232"/>
    </row>
    <row r="50" spans="8:9" customFormat="1" x14ac:dyDescent="0.25">
      <c r="H50" s="232"/>
      <c r="I50" s="232"/>
    </row>
    <row r="51" spans="8:9" customFormat="1" x14ac:dyDescent="0.25">
      <c r="H51" s="232"/>
      <c r="I51" s="232"/>
    </row>
  </sheetData>
  <mergeCells count="32">
    <mergeCell ref="G11:I11"/>
    <mergeCell ref="G20:I20"/>
    <mergeCell ref="G13:I13"/>
    <mergeCell ref="G14:I14"/>
    <mergeCell ref="G15:I15"/>
    <mergeCell ref="G17:I17"/>
    <mergeCell ref="G18:I18"/>
    <mergeCell ref="G4:I4"/>
    <mergeCell ref="G5:I5"/>
    <mergeCell ref="G6:I6"/>
    <mergeCell ref="G8:I8"/>
    <mergeCell ref="G9:I9"/>
    <mergeCell ref="B26:I26"/>
    <mergeCell ref="B27:I27"/>
    <mergeCell ref="H32:H33"/>
    <mergeCell ref="I32:I33"/>
    <mergeCell ref="G34:H35"/>
    <mergeCell ref="I34:I35"/>
    <mergeCell ref="C35:F35"/>
    <mergeCell ref="D32:E32"/>
    <mergeCell ref="H42:H44"/>
    <mergeCell ref="I42:I44"/>
    <mergeCell ref="H45:H46"/>
    <mergeCell ref="I45:I46"/>
    <mergeCell ref="C36:F36"/>
    <mergeCell ref="H36:H37"/>
    <mergeCell ref="I36:I37"/>
    <mergeCell ref="G38:H39"/>
    <mergeCell ref="I38:I39"/>
    <mergeCell ref="H40:H41"/>
    <mergeCell ref="I40:I41"/>
    <mergeCell ref="C43:F44"/>
  </mergeCells>
  <pageMargins left="0" right="0.19685039370078741" top="0.19685039370078741" bottom="0" header="0" footer="0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307"/>
  <sheetViews>
    <sheetView tabSelected="1" view="pageBreakPreview" topLeftCell="A52" zoomScale="80" zoomScaleNormal="70" zoomScaleSheetLayoutView="80" workbookViewId="0">
      <pane xSplit="5" ySplit="6" topLeftCell="F58" activePane="bottomRight" state="frozen"/>
      <selection activeCell="A52" sqref="A52"/>
      <selection pane="topRight" activeCell="F52" sqref="F52"/>
      <selection pane="bottomLeft" activeCell="A58" sqref="A58"/>
      <selection pane="bottomRight" activeCell="F64" sqref="F64"/>
    </sheetView>
  </sheetViews>
  <sheetFormatPr defaultRowHeight="15" x14ac:dyDescent="0.25"/>
  <cols>
    <col min="1" max="1" width="6.7109375" style="1" customWidth="1"/>
    <col min="2" max="2" width="50.5703125" style="2" customWidth="1"/>
    <col min="3" max="3" width="9.140625" style="125"/>
    <col min="4" max="4" width="11.7109375" style="125" customWidth="1"/>
    <col min="5" max="5" width="11.7109375" style="1" customWidth="1"/>
    <col min="6" max="6" width="15.85546875" style="1" customWidth="1"/>
    <col min="7" max="7" width="17.42578125" style="1" customWidth="1"/>
    <col min="8" max="8" width="17" style="1" customWidth="1"/>
    <col min="9" max="9" width="13.85546875" style="1" customWidth="1"/>
    <col min="10" max="10" width="16.28515625" style="119" customWidth="1"/>
    <col min="11" max="11" width="12.140625" style="24" customWidth="1"/>
    <col min="12" max="12" width="15.5703125" style="24" customWidth="1"/>
    <col min="13" max="13" width="27.5703125" style="8" customWidth="1"/>
    <col min="14" max="14" width="40.42578125" customWidth="1"/>
    <col min="15" max="15" width="22" customWidth="1"/>
    <col min="22" max="24" width="9.140625" style="191"/>
    <col min="25" max="25" width="2.5703125" style="191" customWidth="1"/>
    <col min="26" max="26" width="9.140625" style="191" hidden="1" customWidth="1"/>
    <col min="27" max="28" width="9.140625" style="191"/>
    <col min="29" max="29" width="8" style="191" customWidth="1"/>
    <col min="30" max="30" width="9.140625" style="191" hidden="1" customWidth="1"/>
    <col min="31" max="32" width="9.140625" style="191"/>
    <col min="33" max="33" width="9.140625" style="191" customWidth="1"/>
    <col min="34" max="34" width="9.140625" style="191" hidden="1" customWidth="1"/>
    <col min="35" max="36" width="9.140625" style="191"/>
    <col min="37" max="37" width="8" style="191" customWidth="1"/>
    <col min="38" max="38" width="9.140625" style="191" hidden="1" customWidth="1"/>
    <col min="39" max="40" width="9.140625" style="191"/>
    <col min="41" max="41" width="7.5703125" style="191" customWidth="1"/>
    <col min="42" max="42" width="9.140625" style="191" hidden="1" customWidth="1"/>
    <col min="43" max="45" width="9.140625" style="191"/>
    <col min="47" max="47" width="14" customWidth="1"/>
  </cols>
  <sheetData>
    <row r="1" spans="1:14" hidden="1" x14ac:dyDescent="0.25">
      <c r="C1" s="1"/>
      <c r="D1" s="1"/>
      <c r="J1"/>
      <c r="K1" s="175"/>
      <c r="L1" s="175"/>
      <c r="M1" s="152"/>
      <c r="N1" s="134"/>
    </row>
    <row r="2" spans="1:14" hidden="1" x14ac:dyDescent="0.25">
      <c r="C2" s="1"/>
      <c r="D2" s="1"/>
      <c r="J2"/>
      <c r="K2" s="175"/>
      <c r="L2" s="175"/>
      <c r="M2" s="152"/>
      <c r="N2" s="134"/>
    </row>
    <row r="3" spans="1:14" hidden="1" x14ac:dyDescent="0.25">
      <c r="C3" s="1"/>
      <c r="D3" s="1"/>
      <c r="G3" s="355" t="s">
        <v>0</v>
      </c>
      <c r="H3" s="355"/>
      <c r="I3" s="355"/>
      <c r="J3"/>
      <c r="K3" s="175"/>
      <c r="L3" s="175"/>
      <c r="M3" s="152"/>
      <c r="N3" s="134"/>
    </row>
    <row r="4" spans="1:14" ht="30" hidden="1" customHeight="1" x14ac:dyDescent="0.25">
      <c r="C4" s="1"/>
      <c r="D4" s="1"/>
      <c r="G4" s="356" t="s">
        <v>164</v>
      </c>
      <c r="H4" s="356"/>
      <c r="I4" s="356"/>
      <c r="J4"/>
      <c r="K4" s="175"/>
      <c r="L4" s="175"/>
      <c r="M4" s="152"/>
      <c r="N4" s="134"/>
    </row>
    <row r="5" spans="1:14" ht="55.5" hidden="1" customHeight="1" x14ac:dyDescent="0.25">
      <c r="C5" s="1"/>
      <c r="D5" s="1"/>
      <c r="G5" s="357" t="s">
        <v>1</v>
      </c>
      <c r="H5" s="357"/>
      <c r="I5" s="357"/>
      <c r="J5"/>
      <c r="K5" s="175"/>
      <c r="L5" s="175"/>
      <c r="M5" s="152"/>
      <c r="N5" s="134"/>
    </row>
    <row r="6" spans="1:14" hidden="1" x14ac:dyDescent="0.25">
      <c r="C6" s="1"/>
      <c r="D6" s="1"/>
      <c r="G6" s="280"/>
      <c r="H6" s="280"/>
      <c r="I6" s="280"/>
      <c r="J6"/>
      <c r="K6" s="175"/>
      <c r="L6" s="175"/>
      <c r="M6" s="152"/>
      <c r="N6" s="134"/>
    </row>
    <row r="7" spans="1:14" hidden="1" x14ac:dyDescent="0.25">
      <c r="C7" s="1"/>
      <c r="D7" s="1"/>
      <c r="G7" s="358" t="s">
        <v>511</v>
      </c>
      <c r="H7" s="358"/>
      <c r="I7" s="358"/>
      <c r="J7"/>
      <c r="K7" s="175"/>
      <c r="L7" s="175"/>
      <c r="M7" s="152"/>
      <c r="N7" s="134"/>
    </row>
    <row r="8" spans="1:14" hidden="1" x14ac:dyDescent="0.25">
      <c r="C8" s="1"/>
      <c r="D8" s="1"/>
      <c r="G8" s="359" t="s">
        <v>512</v>
      </c>
      <c r="H8" s="359"/>
      <c r="I8" s="359"/>
      <c r="J8"/>
      <c r="K8" s="175"/>
      <c r="L8" s="175"/>
      <c r="M8" s="152"/>
      <c r="N8" s="134"/>
    </row>
    <row r="9" spans="1:14" hidden="1" x14ac:dyDescent="0.25">
      <c r="C9" s="1"/>
      <c r="D9" s="1"/>
      <c r="G9" s="281"/>
      <c r="H9" s="281"/>
      <c r="I9" s="281"/>
      <c r="J9"/>
      <c r="K9" s="175"/>
      <c r="L9" s="175"/>
      <c r="M9" s="152"/>
      <c r="N9" s="134"/>
    </row>
    <row r="10" spans="1:14" hidden="1" x14ac:dyDescent="0.25">
      <c r="C10" s="1"/>
      <c r="D10" s="1"/>
      <c r="G10" s="355" t="str">
        <f>G19</f>
        <v>«_09_»_января_ 2020_ г.</v>
      </c>
      <c r="H10" s="355"/>
      <c r="I10" s="3"/>
      <c r="J10"/>
      <c r="K10" s="175"/>
      <c r="L10" s="175"/>
      <c r="M10" s="152"/>
      <c r="N10" s="134"/>
    </row>
    <row r="11" spans="1:14" hidden="1" x14ac:dyDescent="0.25">
      <c r="C11" s="1"/>
      <c r="D11" s="1"/>
      <c r="G11" s="279"/>
      <c r="H11" s="279"/>
      <c r="I11" s="3"/>
      <c r="J11"/>
      <c r="K11" s="175"/>
      <c r="L11" s="175"/>
      <c r="M11" s="152"/>
      <c r="N11" s="134"/>
    </row>
    <row r="12" spans="1:14" hidden="1" x14ac:dyDescent="0.25">
      <c r="B12" s="3"/>
      <c r="C12" s="3"/>
      <c r="D12" s="1"/>
      <c r="G12" s="355" t="s">
        <v>3</v>
      </c>
      <c r="H12" s="355"/>
      <c r="I12" s="355"/>
      <c r="J12"/>
      <c r="K12" s="175"/>
      <c r="L12" s="175"/>
      <c r="M12" s="152"/>
      <c r="N12" s="134"/>
    </row>
    <row r="13" spans="1:14" hidden="1" x14ac:dyDescent="0.25">
      <c r="A13" s="4"/>
      <c r="B13" s="3"/>
      <c r="C13" s="5"/>
      <c r="D13" s="1"/>
      <c r="G13" s="358"/>
      <c r="H13" s="358"/>
      <c r="I13" s="358"/>
      <c r="J13"/>
      <c r="K13" s="175"/>
      <c r="L13" s="175"/>
      <c r="M13" s="152"/>
      <c r="N13" s="134"/>
    </row>
    <row r="14" spans="1:14" ht="32.25" hidden="1" customHeight="1" x14ac:dyDescent="0.25">
      <c r="A14" s="4"/>
      <c r="B14" s="3"/>
      <c r="C14" s="6"/>
      <c r="D14" s="1"/>
      <c r="G14" s="362" t="s">
        <v>4</v>
      </c>
      <c r="H14" s="362"/>
      <c r="I14" s="362"/>
      <c r="J14" s="7"/>
      <c r="K14" s="25"/>
      <c r="L14" s="25"/>
      <c r="M14" s="152"/>
      <c r="N14" s="134"/>
    </row>
    <row r="15" spans="1:14" hidden="1" x14ac:dyDescent="0.25">
      <c r="A15" s="4"/>
      <c r="B15" s="3"/>
      <c r="C15" s="6"/>
      <c r="D15" s="1"/>
      <c r="G15" s="280"/>
      <c r="H15" s="280"/>
      <c r="I15" s="280"/>
      <c r="J15" s="7"/>
      <c r="K15" s="25"/>
      <c r="L15" s="25"/>
      <c r="M15" s="152"/>
      <c r="N15" s="134"/>
    </row>
    <row r="16" spans="1:14" hidden="1" x14ac:dyDescent="0.25">
      <c r="A16" s="4"/>
      <c r="B16" s="3"/>
      <c r="C16" s="1"/>
      <c r="D16" s="1"/>
      <c r="G16" s="358"/>
      <c r="H16" s="358"/>
      <c r="I16" s="358"/>
      <c r="J16"/>
      <c r="K16" s="175"/>
      <c r="L16" s="175"/>
      <c r="M16" s="152"/>
      <c r="N16" s="134"/>
    </row>
    <row r="17" spans="2:14" hidden="1" x14ac:dyDescent="0.25">
      <c r="B17" s="3"/>
      <c r="C17" s="9"/>
      <c r="D17" s="1"/>
      <c r="G17" s="363" t="s">
        <v>512</v>
      </c>
      <c r="H17" s="363"/>
      <c r="I17" s="363"/>
      <c r="J17"/>
      <c r="K17" s="175"/>
      <c r="L17" s="175"/>
      <c r="M17" s="152"/>
      <c r="N17" s="134"/>
    </row>
    <row r="18" spans="2:14" ht="75" hidden="1" x14ac:dyDescent="0.25">
      <c r="B18" s="3"/>
      <c r="C18" s="9"/>
      <c r="D18" s="1"/>
      <c r="G18" s="281"/>
      <c r="H18" s="281"/>
      <c r="I18" s="281"/>
      <c r="J18"/>
      <c r="K18" s="175"/>
      <c r="L18" s="175"/>
      <c r="M18" s="152" t="s">
        <v>165</v>
      </c>
      <c r="N18" s="134"/>
    </row>
    <row r="19" spans="2:14" hidden="1" x14ac:dyDescent="0.25">
      <c r="B19" s="3"/>
      <c r="C19" s="1"/>
      <c r="D19" s="1"/>
      <c r="G19" s="355" t="s">
        <v>513</v>
      </c>
      <c r="H19" s="355"/>
      <c r="J19"/>
      <c r="K19" s="175"/>
      <c r="L19" s="175"/>
      <c r="M19" s="152" t="s">
        <v>166</v>
      </c>
      <c r="N19" s="134"/>
    </row>
    <row r="20" spans="2:14" hidden="1" x14ac:dyDescent="0.25">
      <c r="C20" s="1"/>
      <c r="D20" s="1"/>
      <c r="G20" s="3"/>
      <c r="H20" s="3"/>
      <c r="I20" s="3"/>
      <c r="J20"/>
      <c r="K20" s="175"/>
      <c r="L20" s="175"/>
      <c r="M20" s="152"/>
      <c r="N20" s="134"/>
    </row>
    <row r="21" spans="2:14" hidden="1" x14ac:dyDescent="0.25">
      <c r="C21" s="1"/>
      <c r="D21" s="1"/>
      <c r="G21" s="279"/>
      <c r="H21" s="279"/>
      <c r="I21" s="279"/>
      <c r="J21"/>
      <c r="K21" s="175"/>
      <c r="L21" s="175"/>
      <c r="M21" s="152"/>
      <c r="N21" s="134"/>
    </row>
    <row r="22" spans="2:14" hidden="1" x14ac:dyDescent="0.25">
      <c r="C22" s="1"/>
      <c r="D22" s="1"/>
      <c r="G22" s="279"/>
      <c r="H22" s="279"/>
      <c r="I22" s="279"/>
      <c r="J22"/>
      <c r="K22" s="175"/>
      <c r="L22" s="175"/>
      <c r="M22" s="152"/>
      <c r="N22" s="134"/>
    </row>
    <row r="23" spans="2:14" ht="15.75" hidden="1" customHeight="1" x14ac:dyDescent="0.25">
      <c r="C23" s="10"/>
      <c r="D23" s="10"/>
      <c r="E23" s="10"/>
      <c r="F23" s="10"/>
      <c r="G23" s="10"/>
      <c r="H23" s="10"/>
      <c r="I23" s="10"/>
      <c r="J23"/>
      <c r="K23" s="175"/>
      <c r="L23" s="175"/>
      <c r="M23" s="152"/>
      <c r="N23" s="134"/>
    </row>
    <row r="24" spans="2:14" ht="15.75" hidden="1" customHeight="1" x14ac:dyDescent="0.25">
      <c r="C24" s="10"/>
      <c r="D24" s="10"/>
      <c r="E24" s="10"/>
      <c r="F24" s="10"/>
      <c r="G24" s="10"/>
      <c r="H24" s="10"/>
      <c r="I24" s="10"/>
      <c r="J24"/>
      <c r="K24" s="175"/>
      <c r="L24" s="175"/>
      <c r="M24" s="152"/>
      <c r="N24" s="134"/>
    </row>
    <row r="25" spans="2:14" ht="15.75" hidden="1" x14ac:dyDescent="0.25">
      <c r="B25" s="350" t="s">
        <v>514</v>
      </c>
      <c r="C25" s="350"/>
      <c r="D25" s="350"/>
      <c r="E25" s="350"/>
      <c r="F25" s="350"/>
      <c r="G25" s="350"/>
      <c r="H25" s="350"/>
      <c r="I25" s="350"/>
      <c r="J25"/>
      <c r="K25" s="175"/>
      <c r="L25" s="175"/>
      <c r="M25" s="152"/>
      <c r="N25" s="134"/>
    </row>
    <row r="26" spans="2:14" ht="15.75" hidden="1" x14ac:dyDescent="0.25">
      <c r="B26" s="350" t="s">
        <v>167</v>
      </c>
      <c r="C26" s="350"/>
      <c r="D26" s="350"/>
      <c r="E26" s="350"/>
      <c r="F26" s="350"/>
      <c r="G26" s="350"/>
      <c r="H26" s="350"/>
      <c r="I26" s="350"/>
      <c r="J26" s="11"/>
      <c r="K26" s="175"/>
      <c r="L26" s="175"/>
      <c r="M26" s="152"/>
      <c r="N26" s="134"/>
    </row>
    <row r="27" spans="2:14" hidden="1" x14ac:dyDescent="0.25">
      <c r="C27" s="1"/>
      <c r="D27" s="1"/>
      <c r="J27"/>
      <c r="K27" s="175"/>
      <c r="L27" s="175"/>
      <c r="M27" s="152"/>
      <c r="N27" s="134"/>
    </row>
    <row r="28" spans="2:14" hidden="1" x14ac:dyDescent="0.25">
      <c r="C28" s="1"/>
      <c r="D28" s="1"/>
      <c r="J28"/>
      <c r="K28" s="175"/>
      <c r="L28" s="175"/>
      <c r="M28" s="152"/>
      <c r="N28" s="134"/>
    </row>
    <row r="29" spans="2:14" hidden="1" x14ac:dyDescent="0.25">
      <c r="C29" s="1"/>
      <c r="D29" s="1"/>
      <c r="J29"/>
      <c r="K29" s="175"/>
      <c r="L29" s="175"/>
      <c r="M29" s="152"/>
      <c r="N29" s="134"/>
    </row>
    <row r="30" spans="2:14" hidden="1" x14ac:dyDescent="0.25">
      <c r="C30" s="1"/>
      <c r="D30" s="1"/>
      <c r="I30" s="285" t="s">
        <v>5</v>
      </c>
      <c r="J30"/>
      <c r="K30" s="175"/>
      <c r="L30" s="175"/>
      <c r="M30" s="152"/>
      <c r="N30" s="134"/>
    </row>
    <row r="31" spans="2:14" hidden="1" x14ac:dyDescent="0.25">
      <c r="B31" s="12" t="s">
        <v>6</v>
      </c>
      <c r="C31" s="3" t="s">
        <v>515</v>
      </c>
      <c r="D31" s="3"/>
      <c r="H31" s="351" t="s">
        <v>7</v>
      </c>
      <c r="I31" s="373">
        <v>43839</v>
      </c>
      <c r="J31" s="175" t="s">
        <v>6</v>
      </c>
      <c r="K31" s="26" t="s">
        <v>2</v>
      </c>
      <c r="L31" s="175"/>
      <c r="M31" s="152" t="s">
        <v>168</v>
      </c>
      <c r="N31" s="134"/>
    </row>
    <row r="32" spans="2:14" hidden="1" x14ac:dyDescent="0.25">
      <c r="C32" s="1"/>
      <c r="D32" s="1"/>
      <c r="H32" s="351"/>
      <c r="I32" s="374"/>
      <c r="J32"/>
      <c r="K32" s="175"/>
      <c r="L32" s="175"/>
      <c r="M32" s="152"/>
      <c r="N32" s="134"/>
    </row>
    <row r="33" spans="2:14" hidden="1" x14ac:dyDescent="0.25">
      <c r="C33" s="1"/>
      <c r="D33" s="1"/>
      <c r="G33" s="346" t="s">
        <v>8</v>
      </c>
      <c r="H33" s="341"/>
      <c r="I33" s="342">
        <v>32305650</v>
      </c>
      <c r="J33"/>
      <c r="K33" s="175"/>
      <c r="L33" s="175"/>
      <c r="M33" s="152"/>
      <c r="N33" s="134"/>
    </row>
    <row r="34" spans="2:14" hidden="1" x14ac:dyDescent="0.25">
      <c r="B34" s="2" t="s">
        <v>9</v>
      </c>
      <c r="C34" s="353" t="s">
        <v>169</v>
      </c>
      <c r="D34" s="353"/>
      <c r="E34" s="353"/>
      <c r="F34" s="353"/>
      <c r="G34" s="346"/>
      <c r="H34" s="341"/>
      <c r="I34" s="344"/>
      <c r="J34" s="27"/>
      <c r="K34" s="26" t="s">
        <v>516</v>
      </c>
      <c r="L34" s="175"/>
      <c r="M34" s="152"/>
      <c r="N34" s="134"/>
    </row>
    <row r="35" spans="2:14" hidden="1" x14ac:dyDescent="0.25">
      <c r="B35" s="2" t="s">
        <v>10</v>
      </c>
      <c r="C35" s="345" t="s">
        <v>170</v>
      </c>
      <c r="D35" s="345"/>
      <c r="E35" s="345"/>
      <c r="F35" s="345"/>
      <c r="H35" s="341" t="s">
        <v>11</v>
      </c>
      <c r="I35" s="342">
        <v>911</v>
      </c>
      <c r="J35"/>
      <c r="K35" s="175"/>
      <c r="L35" s="175"/>
      <c r="M35" s="152"/>
      <c r="N35" s="134"/>
    </row>
    <row r="36" spans="2:14" hidden="1" x14ac:dyDescent="0.25">
      <c r="C36" s="4"/>
      <c r="D36" s="4"/>
      <c r="E36" s="4"/>
      <c r="F36" s="4"/>
      <c r="H36" s="341"/>
      <c r="I36" s="344"/>
      <c r="J36"/>
      <c r="K36" s="175"/>
      <c r="L36" s="175"/>
      <c r="M36" s="152"/>
      <c r="N36" s="134"/>
    </row>
    <row r="37" spans="2:14" hidden="1" x14ac:dyDescent="0.25">
      <c r="C37" s="4"/>
      <c r="D37" s="4"/>
      <c r="E37" s="4"/>
      <c r="F37" s="4"/>
      <c r="G37" s="346" t="s">
        <v>8</v>
      </c>
      <c r="H37" s="341"/>
      <c r="I37" s="342"/>
      <c r="J37"/>
      <c r="K37" s="175"/>
      <c r="L37" s="175"/>
      <c r="M37" s="152"/>
      <c r="N37" s="134"/>
    </row>
    <row r="38" spans="2:14" hidden="1" x14ac:dyDescent="0.25">
      <c r="C38" s="4"/>
      <c r="D38" s="4"/>
      <c r="E38" s="4"/>
      <c r="F38" s="4"/>
      <c r="G38" s="346"/>
      <c r="H38" s="341"/>
      <c r="I38" s="344"/>
      <c r="J38" s="27"/>
      <c r="K38" s="26" t="s">
        <v>171</v>
      </c>
      <c r="L38" s="175"/>
      <c r="M38" s="152"/>
      <c r="N38" s="134"/>
    </row>
    <row r="39" spans="2:14" hidden="1" x14ac:dyDescent="0.25">
      <c r="C39" s="4"/>
      <c r="D39" s="4"/>
      <c r="E39" s="4"/>
      <c r="F39" s="4"/>
      <c r="H39" s="341" t="s">
        <v>12</v>
      </c>
      <c r="I39" s="342"/>
      <c r="J39"/>
      <c r="K39" s="175"/>
      <c r="L39" s="175"/>
      <c r="M39" s="152"/>
      <c r="N39" s="134"/>
    </row>
    <row r="40" spans="2:14" hidden="1" x14ac:dyDescent="0.25">
      <c r="C40" s="4"/>
      <c r="D40" s="4"/>
      <c r="E40" s="4"/>
      <c r="F40" s="4"/>
      <c r="H40" s="341"/>
      <c r="I40" s="344"/>
      <c r="J40"/>
      <c r="K40" s="175"/>
      <c r="L40" s="175"/>
      <c r="M40" s="152"/>
      <c r="N40" s="134"/>
    </row>
    <row r="41" spans="2:14" hidden="1" x14ac:dyDescent="0.25">
      <c r="C41" s="1"/>
      <c r="D41" s="1"/>
      <c r="H41" s="341" t="s">
        <v>13</v>
      </c>
      <c r="I41" s="342"/>
      <c r="J41"/>
      <c r="K41" s="175"/>
      <c r="L41" s="175"/>
      <c r="M41" s="152"/>
      <c r="N41" s="134"/>
    </row>
    <row r="42" spans="2:14" hidden="1" x14ac:dyDescent="0.25">
      <c r="B42" s="2" t="s">
        <v>14</v>
      </c>
      <c r="C42" s="13"/>
      <c r="D42" s="13"/>
      <c r="E42" s="13"/>
      <c r="F42" s="13"/>
      <c r="H42" s="341"/>
      <c r="I42" s="343"/>
      <c r="J42"/>
      <c r="K42" s="175"/>
      <c r="L42" s="175"/>
      <c r="M42" s="152"/>
      <c r="N42" s="134"/>
    </row>
    <row r="43" spans="2:14" hidden="1" x14ac:dyDescent="0.25">
      <c r="B43" s="183"/>
      <c r="C43" s="13"/>
      <c r="D43" s="13"/>
      <c r="E43" s="13"/>
      <c r="F43" s="13"/>
      <c r="H43" s="341"/>
      <c r="I43" s="344"/>
      <c r="J43"/>
      <c r="K43" s="175"/>
      <c r="L43" s="175"/>
      <c r="M43" s="152"/>
      <c r="N43" s="134"/>
    </row>
    <row r="44" spans="2:14" hidden="1" x14ac:dyDescent="0.25">
      <c r="B44" s="213"/>
      <c r="C44" s="4"/>
      <c r="D44" s="4"/>
      <c r="E44" s="4"/>
      <c r="F44" s="4"/>
      <c r="H44" s="341" t="s">
        <v>15</v>
      </c>
      <c r="I44" s="342">
        <v>383</v>
      </c>
      <c r="J44"/>
      <c r="K44" s="175"/>
      <c r="L44" s="175"/>
      <c r="M44" s="152"/>
      <c r="N44" s="134"/>
    </row>
    <row r="45" spans="2:14" hidden="1" x14ac:dyDescent="0.25">
      <c r="B45" s="2" t="s">
        <v>16</v>
      </c>
      <c r="C45" s="1"/>
      <c r="D45" s="1"/>
      <c r="H45" s="341"/>
      <c r="I45" s="344"/>
      <c r="J45"/>
      <c r="K45" s="175"/>
      <c r="L45" s="175"/>
      <c r="M45" s="152"/>
      <c r="N45" s="134"/>
    </row>
    <row r="46" spans="2:14" hidden="1" x14ac:dyDescent="0.25">
      <c r="C46" s="1"/>
      <c r="D46" s="1"/>
      <c r="H46" s="282"/>
      <c r="I46" s="282"/>
      <c r="J46"/>
      <c r="K46" s="175"/>
      <c r="L46" s="175"/>
      <c r="M46" s="152"/>
      <c r="N46" s="134"/>
    </row>
    <row r="47" spans="2:14" hidden="1" x14ac:dyDescent="0.25">
      <c r="C47" s="1"/>
      <c r="D47" s="1"/>
      <c r="H47" s="282"/>
      <c r="I47" s="282"/>
      <c r="J47"/>
      <c r="K47" s="175"/>
      <c r="L47" s="175"/>
      <c r="M47" s="152"/>
      <c r="N47" s="134"/>
    </row>
    <row r="48" spans="2:14" hidden="1" x14ac:dyDescent="0.25">
      <c r="C48" s="1"/>
      <c r="D48" s="1"/>
      <c r="H48" s="282"/>
      <c r="I48" s="282"/>
      <c r="J48"/>
      <c r="K48" s="175"/>
      <c r="L48" s="175"/>
      <c r="M48" s="152"/>
      <c r="N48" s="134"/>
    </row>
    <row r="49" spans="1:45" hidden="1" x14ac:dyDescent="0.25">
      <c r="C49" s="1"/>
      <c r="D49" s="1"/>
      <c r="H49" s="282"/>
      <c r="I49" s="282"/>
      <c r="J49"/>
      <c r="K49" s="175"/>
      <c r="L49" s="175"/>
      <c r="M49" s="152"/>
      <c r="N49" s="134"/>
    </row>
    <row r="50" spans="1:45" hidden="1" x14ac:dyDescent="0.25">
      <c r="C50" s="1"/>
      <c r="D50" s="1"/>
      <c r="H50" s="282"/>
      <c r="I50" s="282"/>
      <c r="J50"/>
      <c r="K50" s="175"/>
      <c r="L50" s="175"/>
      <c r="M50" s="152"/>
      <c r="N50" s="134"/>
    </row>
    <row r="51" spans="1:45" hidden="1" x14ac:dyDescent="0.25">
      <c r="C51" s="1"/>
      <c r="D51" s="1"/>
      <c r="H51" s="282"/>
      <c r="I51" s="282"/>
      <c r="J51"/>
      <c r="K51" s="175"/>
      <c r="L51" s="175"/>
      <c r="M51" s="152"/>
      <c r="N51" s="134"/>
    </row>
    <row r="52" spans="1:45" x14ac:dyDescent="0.25">
      <c r="C52" s="1"/>
      <c r="D52" s="1"/>
      <c r="J52"/>
      <c r="K52" s="175"/>
      <c r="L52" s="175"/>
      <c r="M52" s="152"/>
      <c r="N52" s="134"/>
    </row>
    <row r="53" spans="1:45" x14ac:dyDescent="0.25">
      <c r="B53" s="376" t="s">
        <v>17</v>
      </c>
      <c r="C53" s="376"/>
      <c r="D53" s="376"/>
      <c r="E53" s="376"/>
      <c r="F53" s="376"/>
      <c r="G53" s="376"/>
      <c r="H53" s="376"/>
      <c r="I53" s="376"/>
      <c r="K53" s="23" t="s">
        <v>161</v>
      </c>
      <c r="L53" s="23" t="s">
        <v>162</v>
      </c>
      <c r="M53" s="152" t="s">
        <v>163</v>
      </c>
    </row>
    <row r="54" spans="1:45" x14ac:dyDescent="0.25">
      <c r="C54" s="126"/>
      <c r="D54" s="126"/>
      <c r="E54" s="13"/>
      <c r="F54" s="13"/>
      <c r="J54" s="184"/>
      <c r="K54" s="185"/>
      <c r="L54" s="185"/>
    </row>
    <row r="55" spans="1:45" x14ac:dyDescent="0.25">
      <c r="B55" s="366" t="s">
        <v>18</v>
      </c>
      <c r="C55" s="370" t="s">
        <v>19</v>
      </c>
      <c r="D55" s="370" t="s">
        <v>20</v>
      </c>
      <c r="E55" s="366" t="s">
        <v>21</v>
      </c>
      <c r="F55" s="369" t="s">
        <v>22</v>
      </c>
      <c r="G55" s="369"/>
      <c r="H55" s="369"/>
      <c r="I55" s="369"/>
    </row>
    <row r="56" spans="1:45" ht="74.25" customHeight="1" x14ac:dyDescent="0.25">
      <c r="B56" s="366"/>
      <c r="C56" s="370"/>
      <c r="D56" s="370"/>
      <c r="E56" s="366"/>
      <c r="F56" s="284" t="s">
        <v>732</v>
      </c>
      <c r="G56" s="284" t="s">
        <v>733</v>
      </c>
      <c r="H56" s="284" t="s">
        <v>734</v>
      </c>
      <c r="I56" s="284" t="s">
        <v>23</v>
      </c>
    </row>
    <row r="57" spans="1:45" x14ac:dyDescent="0.25">
      <c r="B57" s="284">
        <v>1</v>
      </c>
      <c r="C57" s="123">
        <v>2</v>
      </c>
      <c r="D57" s="123">
        <v>3</v>
      </c>
      <c r="E57" s="285">
        <v>4</v>
      </c>
      <c r="F57" s="285">
        <v>5</v>
      </c>
      <c r="G57" s="285">
        <v>6</v>
      </c>
      <c r="H57" s="285">
        <v>7</v>
      </c>
      <c r="I57" s="285">
        <v>8</v>
      </c>
    </row>
    <row r="58" spans="1:45" ht="30" x14ac:dyDescent="0.25">
      <c r="B58" s="14" t="s">
        <v>24</v>
      </c>
      <c r="C58" s="127" t="s">
        <v>25</v>
      </c>
      <c r="D58" s="123" t="s">
        <v>26</v>
      </c>
      <c r="E58" s="285" t="s">
        <v>26</v>
      </c>
      <c r="F58" s="16">
        <f>'Утверждено (МЗ,ОП,ИЦ,КАП)'!L5+'Утверждено (ПДД)'!D7</f>
        <v>668173.41</v>
      </c>
      <c r="G58" s="16"/>
      <c r="H58" s="16"/>
      <c r="I58" s="16"/>
      <c r="K58" s="24" t="s">
        <v>172</v>
      </c>
      <c r="M58" s="377" t="s">
        <v>173</v>
      </c>
      <c r="N58" s="32"/>
      <c r="O58" s="32"/>
    </row>
    <row r="59" spans="1:45" ht="30" x14ac:dyDescent="0.25">
      <c r="B59" s="14" t="s">
        <v>27</v>
      </c>
      <c r="C59" s="127" t="s">
        <v>28</v>
      </c>
      <c r="D59" s="123" t="s">
        <v>26</v>
      </c>
      <c r="E59" s="285" t="s">
        <v>26</v>
      </c>
      <c r="F59" s="16">
        <f t="shared" ref="F59:H59" si="0">F58+F60-F78+F168-F172</f>
        <v>0</v>
      </c>
      <c r="G59" s="16">
        <f t="shared" si="0"/>
        <v>0</v>
      </c>
      <c r="H59" s="16">
        <f t="shared" si="0"/>
        <v>0</v>
      </c>
      <c r="I59" s="16">
        <f>I58+I60-I78</f>
        <v>0</v>
      </c>
      <c r="K59" s="24" t="s">
        <v>172</v>
      </c>
      <c r="M59" s="377"/>
      <c r="N59" s="32"/>
      <c r="O59" s="32"/>
    </row>
    <row r="60" spans="1:45" s="21" customFormat="1" ht="14.25" x14ac:dyDescent="0.2">
      <c r="A60" s="17"/>
      <c r="B60" s="18" t="s">
        <v>29</v>
      </c>
      <c r="C60" s="128" t="s">
        <v>30</v>
      </c>
      <c r="D60" s="149"/>
      <c r="E60" s="19"/>
      <c r="F60" s="20">
        <f>SUM(F61,F62,F65,F66,F70,F73,F76)</f>
        <v>18942499.550000001</v>
      </c>
      <c r="G60" s="20">
        <f t="shared" ref="G60:H60" si="1">SUM(G61,G62,G65,G66,G70,G73,G76)</f>
        <v>18231633.27</v>
      </c>
      <c r="H60" s="20">
        <f t="shared" si="1"/>
        <v>18231633.27</v>
      </c>
      <c r="I60" s="20">
        <f t="shared" ref="I60" si="2">SUM(I61,I62,I65,I66,I70,I73)</f>
        <v>0</v>
      </c>
      <c r="J60" s="121"/>
      <c r="K60" s="28"/>
      <c r="L60" s="28"/>
      <c r="M60" s="7"/>
      <c r="N60" s="7"/>
      <c r="O60" s="7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  <c r="AN60" s="192"/>
      <c r="AO60" s="192"/>
      <c r="AP60" s="192"/>
      <c r="AQ60" s="192"/>
      <c r="AR60" s="192"/>
      <c r="AS60" s="192"/>
    </row>
    <row r="61" spans="1:45" ht="30" x14ac:dyDescent="0.25">
      <c r="B61" s="14" t="s">
        <v>31</v>
      </c>
      <c r="C61" s="127" t="s">
        <v>32</v>
      </c>
      <c r="D61" s="123">
        <v>120</v>
      </c>
      <c r="E61" s="285"/>
      <c r="F61" s="16"/>
      <c r="G61" s="16"/>
      <c r="H61" s="16"/>
      <c r="I61" s="16"/>
      <c r="K61" s="29">
        <v>2</v>
      </c>
      <c r="L61" s="29">
        <v>121</v>
      </c>
      <c r="M61" s="32" t="s">
        <v>174</v>
      </c>
      <c r="N61" s="32"/>
      <c r="O61" s="32"/>
    </row>
    <row r="62" spans="1:45" ht="30" x14ac:dyDescent="0.25">
      <c r="B62" s="14" t="s">
        <v>33</v>
      </c>
      <c r="C62" s="127" t="s">
        <v>34</v>
      </c>
      <c r="D62" s="123">
        <v>130</v>
      </c>
      <c r="E62" s="285"/>
      <c r="F62" s="16">
        <f>SUM(F63:F64)</f>
        <v>18145489.23</v>
      </c>
      <c r="G62" s="16">
        <f t="shared" ref="G62:I62" si="3">SUM(G63:G64)</f>
        <v>17460853.27</v>
      </c>
      <c r="H62" s="16">
        <f t="shared" si="3"/>
        <v>17460853.27</v>
      </c>
      <c r="I62" s="16">
        <f t="shared" si="3"/>
        <v>0</v>
      </c>
      <c r="K62" s="30"/>
      <c r="L62" s="31"/>
      <c r="M62" s="32"/>
      <c r="N62" s="32"/>
      <c r="O62" s="32"/>
    </row>
    <row r="63" spans="1:45" ht="74.25" customHeight="1" x14ac:dyDescent="0.25">
      <c r="B63" s="14" t="s">
        <v>35</v>
      </c>
      <c r="C63" s="127" t="s">
        <v>36</v>
      </c>
      <c r="D63" s="123">
        <v>130</v>
      </c>
      <c r="E63" s="285"/>
      <c r="F63" s="16">
        <f>'Утверждено (МЗ,ОП,ИЦ,КАП)'!I5</f>
        <v>14016450.23</v>
      </c>
      <c r="G63" s="16">
        <f>'Утверждено (МЗ,ОП,ИЦ,КАП)'!J5</f>
        <v>13966614.27</v>
      </c>
      <c r="H63" s="16">
        <f>'Утверждено (МЗ,ОП,ИЦ,КАП)'!K5</f>
        <v>13966614.27</v>
      </c>
      <c r="I63" s="16"/>
      <c r="K63" s="31">
        <v>4</v>
      </c>
      <c r="L63" s="124">
        <v>131</v>
      </c>
      <c r="M63" s="215" t="s">
        <v>175</v>
      </c>
      <c r="N63" s="32"/>
      <c r="O63" s="32"/>
    </row>
    <row r="64" spans="1:45" ht="45" x14ac:dyDescent="0.25">
      <c r="B64" s="14" t="s">
        <v>176</v>
      </c>
      <c r="C64" s="127" t="s">
        <v>177</v>
      </c>
      <c r="D64" s="123">
        <v>130</v>
      </c>
      <c r="E64" s="285"/>
      <c r="F64" s="16">
        <f>'Утверждено (ПДД)'!D18-Форма!F69</f>
        <v>4129039</v>
      </c>
      <c r="G64" s="16">
        <f>'Утверждено (ПДД)'!E18-Форма!G69</f>
        <v>3494239</v>
      </c>
      <c r="H64" s="16">
        <f>'Утверждено (ПДД)'!F18-Форма!H69</f>
        <v>3494239</v>
      </c>
      <c r="I64" s="16"/>
      <c r="J64" s="122" t="s">
        <v>400</v>
      </c>
      <c r="K64" s="31">
        <v>2</v>
      </c>
      <c r="L64" s="124" t="s">
        <v>178</v>
      </c>
      <c r="M64" s="215" t="s">
        <v>179</v>
      </c>
      <c r="N64" s="32"/>
      <c r="O64" s="32"/>
    </row>
    <row r="65" spans="1:45" ht="32.25" customHeight="1" x14ac:dyDescent="0.25">
      <c r="B65" s="14" t="s">
        <v>37</v>
      </c>
      <c r="C65" s="127" t="s">
        <v>38</v>
      </c>
      <c r="D65" s="123">
        <v>140</v>
      </c>
      <c r="E65" s="285"/>
      <c r="F65" s="16"/>
      <c r="G65" s="16"/>
      <c r="H65" s="16"/>
      <c r="I65" s="16"/>
      <c r="K65" s="31">
        <v>2</v>
      </c>
      <c r="L65" s="124" t="s">
        <v>180</v>
      </c>
      <c r="M65" s="215" t="s">
        <v>181</v>
      </c>
      <c r="N65" s="32"/>
      <c r="O65" s="32"/>
    </row>
    <row r="66" spans="1:45" x14ac:dyDescent="0.25">
      <c r="B66" s="14" t="s">
        <v>39</v>
      </c>
      <c r="C66" s="127" t="s">
        <v>40</v>
      </c>
      <c r="D66" s="123">
        <v>150</v>
      </c>
      <c r="E66" s="285"/>
      <c r="F66" s="16">
        <f>SUM(F67:F69)</f>
        <v>797010.32</v>
      </c>
      <c r="G66" s="16">
        <f t="shared" ref="G66:I66" si="4">SUM(G67:G69)</f>
        <v>770780</v>
      </c>
      <c r="H66" s="16">
        <f t="shared" si="4"/>
        <v>770780</v>
      </c>
      <c r="I66" s="16">
        <f t="shared" si="4"/>
        <v>0</v>
      </c>
      <c r="K66" s="31"/>
      <c r="L66" s="31"/>
      <c r="M66" s="32"/>
      <c r="N66" s="32"/>
      <c r="O66" s="32"/>
    </row>
    <row r="67" spans="1:45" ht="30" x14ac:dyDescent="0.25">
      <c r="B67" s="14" t="s">
        <v>43</v>
      </c>
      <c r="C67" s="225" t="s">
        <v>183</v>
      </c>
      <c r="D67" s="285">
        <v>150</v>
      </c>
      <c r="E67" s="285"/>
      <c r="F67" s="16">
        <f>'Утверждено (МЗ,ОП,ИЦ,КАП)'!I132</f>
        <v>26230.32</v>
      </c>
      <c r="G67" s="16">
        <f>'Утверждено (МЗ,ОП,ИЦ,КАП)'!J132</f>
        <v>0</v>
      </c>
      <c r="H67" s="16">
        <f>'Утверждено (МЗ,ОП,ИЦ,КАП)'!K132</f>
        <v>0</v>
      </c>
      <c r="I67" s="16"/>
      <c r="K67" s="31">
        <v>5</v>
      </c>
      <c r="L67" s="124"/>
      <c r="M67" s="215"/>
      <c r="N67" s="32"/>
      <c r="O67" s="32"/>
    </row>
    <row r="68" spans="1:45" ht="30" x14ac:dyDescent="0.25">
      <c r="B68" s="14" t="s">
        <v>45</v>
      </c>
      <c r="C68" s="225" t="s">
        <v>623</v>
      </c>
      <c r="D68" s="285">
        <v>150</v>
      </c>
      <c r="E68" s="285"/>
      <c r="F68" s="16"/>
      <c r="G68" s="16"/>
      <c r="H68" s="16"/>
      <c r="I68" s="16"/>
      <c r="K68" s="31"/>
      <c r="L68" s="124"/>
      <c r="M68" s="270"/>
      <c r="N68" s="269"/>
      <c r="O68" s="269"/>
    </row>
    <row r="69" spans="1:45" ht="49.5" customHeight="1" x14ac:dyDescent="0.25">
      <c r="B69" s="14" t="s">
        <v>694</v>
      </c>
      <c r="C69" s="225" t="s">
        <v>695</v>
      </c>
      <c r="D69" s="285">
        <v>150</v>
      </c>
      <c r="E69" s="285"/>
      <c r="F69" s="16">
        <f>'Утверждено (ПДД)'!D25+'Утверждено (ПДД)'!D26</f>
        <v>770780</v>
      </c>
      <c r="G69" s="16">
        <f>'Утверждено (ПДД)'!E25+'Утверждено (ПДД)'!E26</f>
        <v>770780</v>
      </c>
      <c r="H69" s="16">
        <f>'Утверждено (ПДД)'!F25+'Утверждено (ПДД)'!F26</f>
        <v>770780</v>
      </c>
      <c r="I69" s="16"/>
      <c r="J69" s="119" t="s">
        <v>401</v>
      </c>
      <c r="K69" s="31">
        <v>2</v>
      </c>
      <c r="L69" s="124">
        <v>155</v>
      </c>
      <c r="M69" s="289" t="s">
        <v>184</v>
      </c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</row>
    <row r="70" spans="1:45" x14ac:dyDescent="0.25">
      <c r="B70" s="14" t="s">
        <v>41</v>
      </c>
      <c r="C70" s="127" t="s">
        <v>42</v>
      </c>
      <c r="D70" s="123">
        <v>180</v>
      </c>
      <c r="E70" s="285"/>
      <c r="F70" s="16">
        <f>SUM(F71:F72)</f>
        <v>0</v>
      </c>
      <c r="G70" s="16">
        <f t="shared" ref="G70:I70" si="5">SUM(G71:G72)</f>
        <v>0</v>
      </c>
      <c r="H70" s="16">
        <f t="shared" si="5"/>
        <v>0</v>
      </c>
      <c r="I70" s="16">
        <f t="shared" si="5"/>
        <v>0</v>
      </c>
      <c r="K70" s="31"/>
      <c r="L70" s="31"/>
      <c r="M70" s="32"/>
      <c r="N70" s="32"/>
      <c r="O70" s="32"/>
    </row>
    <row r="71" spans="1:45" ht="30" x14ac:dyDescent="0.25">
      <c r="B71" s="14" t="s">
        <v>696</v>
      </c>
      <c r="C71" s="127" t="s">
        <v>44</v>
      </c>
      <c r="D71" s="123">
        <v>180</v>
      </c>
      <c r="E71" s="285"/>
      <c r="F71" s="16"/>
      <c r="G71" s="16"/>
      <c r="H71" s="16"/>
      <c r="I71" s="16"/>
      <c r="K71" s="31">
        <v>5</v>
      </c>
      <c r="L71" s="124" t="s">
        <v>185</v>
      </c>
      <c r="M71" s="215" t="s">
        <v>186</v>
      </c>
      <c r="N71" s="32"/>
      <c r="O71" s="32"/>
    </row>
    <row r="72" spans="1:45" ht="30" hidden="1" x14ac:dyDescent="0.25">
      <c r="B72" s="14" t="s">
        <v>45</v>
      </c>
      <c r="C72" s="127" t="s">
        <v>46</v>
      </c>
      <c r="D72" s="123">
        <v>180</v>
      </c>
      <c r="E72" s="285"/>
      <c r="F72" s="16"/>
      <c r="G72" s="16"/>
      <c r="H72" s="16"/>
      <c r="I72" s="16"/>
      <c r="K72" s="31">
        <v>6</v>
      </c>
      <c r="L72" s="31"/>
      <c r="M72" s="32"/>
      <c r="N72" s="32"/>
      <c r="O72" s="32"/>
    </row>
    <row r="73" spans="1:45" ht="15" customHeight="1" x14ac:dyDescent="0.25">
      <c r="B73" s="14" t="s">
        <v>47</v>
      </c>
      <c r="C73" s="127" t="s">
        <v>48</v>
      </c>
      <c r="D73" s="123"/>
      <c r="E73" s="285"/>
      <c r="F73" s="16">
        <f>SUM(F74:F75)</f>
        <v>0</v>
      </c>
      <c r="G73" s="16">
        <f t="shared" ref="G73:I73" si="6">SUM(G74:G75)</f>
        <v>0</v>
      </c>
      <c r="H73" s="16">
        <f t="shared" si="6"/>
        <v>0</v>
      </c>
      <c r="I73" s="16">
        <f t="shared" si="6"/>
        <v>0</v>
      </c>
      <c r="K73" s="31"/>
      <c r="L73" s="31"/>
      <c r="M73" s="32"/>
      <c r="N73" s="32"/>
      <c r="O73" s="32"/>
    </row>
    <row r="74" spans="1:45" ht="60" x14ac:dyDescent="0.25">
      <c r="B74" s="14" t="s">
        <v>182</v>
      </c>
      <c r="C74" s="127" t="s">
        <v>187</v>
      </c>
      <c r="D74" s="123">
        <v>410</v>
      </c>
      <c r="E74" s="285"/>
      <c r="F74" s="16"/>
      <c r="G74" s="16"/>
      <c r="H74" s="16"/>
      <c r="I74" s="16"/>
      <c r="K74" s="31">
        <v>2</v>
      </c>
      <c r="L74" s="31">
        <v>410</v>
      </c>
      <c r="M74" s="32" t="s">
        <v>188</v>
      </c>
      <c r="N74" s="32"/>
      <c r="O74" s="32"/>
    </row>
    <row r="75" spans="1:45" ht="45" x14ac:dyDescent="0.25">
      <c r="B75" s="14" t="s">
        <v>176</v>
      </c>
      <c r="C75" s="127" t="s">
        <v>189</v>
      </c>
      <c r="D75" s="123">
        <v>440</v>
      </c>
      <c r="E75" s="285"/>
      <c r="F75" s="16"/>
      <c r="G75" s="16"/>
      <c r="H75" s="16"/>
      <c r="I75" s="16"/>
      <c r="K75" s="31">
        <v>2</v>
      </c>
      <c r="L75" s="31" t="s">
        <v>190</v>
      </c>
      <c r="M75" s="32" t="s">
        <v>191</v>
      </c>
      <c r="N75" s="32"/>
      <c r="O75" s="32"/>
    </row>
    <row r="76" spans="1:45" x14ac:dyDescent="0.25">
      <c r="B76" s="14" t="s">
        <v>49</v>
      </c>
      <c r="C76" s="127" t="s">
        <v>50</v>
      </c>
      <c r="D76" s="123" t="s">
        <v>26</v>
      </c>
      <c r="E76" s="285"/>
      <c r="F76" s="16">
        <f>F77</f>
        <v>0</v>
      </c>
      <c r="G76" s="16">
        <f>G77</f>
        <v>0</v>
      </c>
      <c r="H76" s="16">
        <f t="shared" ref="H76" si="7">H77</f>
        <v>0</v>
      </c>
      <c r="I76" s="16"/>
      <c r="K76" s="31" t="s">
        <v>192</v>
      </c>
      <c r="L76" s="31"/>
      <c r="M76" s="32" t="s">
        <v>193</v>
      </c>
      <c r="N76" s="32"/>
      <c r="O76" s="32"/>
    </row>
    <row r="77" spans="1:45" ht="58.5" customHeight="1" x14ac:dyDescent="0.25">
      <c r="B77" s="14" t="s">
        <v>51</v>
      </c>
      <c r="C77" s="127" t="s">
        <v>52</v>
      </c>
      <c r="D77" s="123">
        <v>510</v>
      </c>
      <c r="E77" s="285"/>
      <c r="F77" s="16">
        <f>'Утверждено (МЗ,ОП,ИЦ,КАП)'!I143</f>
        <v>0</v>
      </c>
      <c r="G77" s="16"/>
      <c r="H77" s="16"/>
      <c r="I77" s="33" t="s">
        <v>26</v>
      </c>
      <c r="K77" s="31" t="s">
        <v>192</v>
      </c>
      <c r="L77" s="31"/>
      <c r="M77" s="32" t="s">
        <v>194</v>
      </c>
      <c r="N77" s="32"/>
      <c r="O77" s="32"/>
    </row>
    <row r="78" spans="1:45" s="21" customFormat="1" ht="14.25" x14ac:dyDescent="0.2">
      <c r="A78" s="17"/>
      <c r="B78" s="18" t="s">
        <v>53</v>
      </c>
      <c r="C78" s="128" t="s">
        <v>54</v>
      </c>
      <c r="D78" s="149" t="s">
        <v>26</v>
      </c>
      <c r="E78" s="19"/>
      <c r="F78" s="20">
        <f>SUM(F79,F98,F111,F121,F134,F138,F159)</f>
        <v>19528475.960000001</v>
      </c>
      <c r="G78" s="20">
        <f t="shared" ref="G78:I78" si="8">SUM(G79,G98,G111,G121,G134,G138,G159)</f>
        <v>18165636.27</v>
      </c>
      <c r="H78" s="20">
        <f t="shared" si="8"/>
        <v>18165636.27</v>
      </c>
      <c r="I78" s="20">
        <f t="shared" si="8"/>
        <v>0</v>
      </c>
      <c r="J78" s="121"/>
      <c r="K78" s="34"/>
      <c r="L78" s="34"/>
      <c r="M78" s="7"/>
      <c r="N78" s="7"/>
      <c r="O78" s="7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92"/>
      <c r="AL78" s="192"/>
      <c r="AM78" s="192"/>
      <c r="AN78" s="192"/>
      <c r="AO78" s="192"/>
      <c r="AP78" s="192"/>
      <c r="AQ78" s="192"/>
      <c r="AR78" s="192"/>
      <c r="AS78" s="192"/>
    </row>
    <row r="79" spans="1:45" ht="30" x14ac:dyDescent="0.25">
      <c r="B79" s="14" t="s">
        <v>55</v>
      </c>
      <c r="C79" s="127" t="s">
        <v>56</v>
      </c>
      <c r="D79" s="123" t="s">
        <v>26</v>
      </c>
      <c r="E79" s="285"/>
      <c r="F79" s="16">
        <f>SUM(F80,F84,F87,F90)</f>
        <v>13222149.640000001</v>
      </c>
      <c r="G79" s="16">
        <f t="shared" ref="G79:H79" si="9">SUM(G80,G84,G87,G90)</f>
        <v>12883259</v>
      </c>
      <c r="H79" s="16">
        <f t="shared" si="9"/>
        <v>12883259</v>
      </c>
      <c r="I79" s="16"/>
      <c r="K79" s="31"/>
      <c r="L79" s="31"/>
      <c r="M79" s="32"/>
      <c r="N79" s="32"/>
      <c r="O79" s="32"/>
    </row>
    <row r="80" spans="1:45" ht="30" x14ac:dyDescent="0.25">
      <c r="B80" s="14" t="s">
        <v>57</v>
      </c>
      <c r="C80" s="127" t="s">
        <v>58</v>
      </c>
      <c r="D80" s="123">
        <v>111</v>
      </c>
      <c r="E80" s="285"/>
      <c r="F80" s="16">
        <f>SUM(F81:F83)</f>
        <v>10233882.640000001</v>
      </c>
      <c r="G80" s="16">
        <f t="shared" ref="G80:H80" si="10">SUM(G81:G83)</f>
        <v>9894992</v>
      </c>
      <c r="H80" s="16">
        <f t="shared" si="10"/>
        <v>9894992</v>
      </c>
      <c r="I80" s="33" t="s">
        <v>26</v>
      </c>
      <c r="K80" s="31"/>
      <c r="L80" s="31"/>
      <c r="M80" s="32"/>
      <c r="N80" s="32"/>
      <c r="O80" s="32"/>
    </row>
    <row r="81" spans="2:15" ht="79.5" customHeight="1" x14ac:dyDescent="0.25">
      <c r="B81" s="22" t="s">
        <v>195</v>
      </c>
      <c r="C81" s="127" t="s">
        <v>196</v>
      </c>
      <c r="D81" s="123">
        <v>111</v>
      </c>
      <c r="E81" s="285"/>
      <c r="F81" s="16">
        <f>'Утверждено (МЗ,ОП,ИЦ,КАП)'!I7+'Утверждено (МЗ,ОП,ИЦ,КАП)'!I113+'Утверждено (МЗ,ОП,ИЦ,КАП)'!L7+'Утверждено (МЗ,ОП,ИЦ,КАП)'!L113</f>
        <v>10233882.640000001</v>
      </c>
      <c r="G81" s="16">
        <f>'Утверждено (МЗ,ОП,ИЦ,КАП)'!J7+'Утверждено (МЗ,ОП,ИЦ,КАП)'!J113</f>
        <v>9894992</v>
      </c>
      <c r="H81" s="16">
        <f>'Утверждено (МЗ,ОП,ИЦ,КАП)'!K7+'Утверждено (МЗ,ОП,ИЦ,КАП)'!K113</f>
        <v>9894992</v>
      </c>
      <c r="I81" s="33" t="s">
        <v>26</v>
      </c>
      <c r="K81" s="31">
        <v>4</v>
      </c>
      <c r="L81" s="124" t="s">
        <v>197</v>
      </c>
      <c r="M81" s="215" t="s">
        <v>198</v>
      </c>
      <c r="N81" s="32"/>
      <c r="O81" s="32"/>
    </row>
    <row r="82" spans="2:15" ht="45" x14ac:dyDescent="0.25">
      <c r="B82" s="14" t="s">
        <v>199</v>
      </c>
      <c r="C82" s="127" t="s">
        <v>200</v>
      </c>
      <c r="D82" s="123">
        <v>111</v>
      </c>
      <c r="E82" s="285"/>
      <c r="F82" s="16">
        <f>'Утверждено (ПДД)'!D52</f>
        <v>0</v>
      </c>
      <c r="G82" s="16">
        <f>'Утверждено (ПДД)'!E52</f>
        <v>0</v>
      </c>
      <c r="H82" s="16">
        <f>'Утверждено (ПДД)'!F52</f>
        <v>0</v>
      </c>
      <c r="I82" s="33" t="s">
        <v>26</v>
      </c>
      <c r="K82" s="31">
        <v>2</v>
      </c>
      <c r="L82" s="124" t="s">
        <v>197</v>
      </c>
      <c r="M82" s="215" t="s">
        <v>198</v>
      </c>
      <c r="N82" s="32"/>
      <c r="O82" s="32"/>
    </row>
    <row r="83" spans="2:15" x14ac:dyDescent="0.25">
      <c r="B83" s="14" t="s">
        <v>201</v>
      </c>
      <c r="C83" s="127" t="s">
        <v>202</v>
      </c>
      <c r="D83" s="123">
        <v>111</v>
      </c>
      <c r="E83" s="285"/>
      <c r="F83" s="16">
        <f>'Утверждено (МЗ,ОП,ИЦ,КАП)'!I173</f>
        <v>0</v>
      </c>
      <c r="G83" s="16">
        <f>'Утверждено (МЗ,ОП,ИЦ,КАП)'!J173</f>
        <v>0</v>
      </c>
      <c r="H83" s="16">
        <f>'Утверждено (МЗ,ОП,ИЦ,КАП)'!K173</f>
        <v>0</v>
      </c>
      <c r="I83" s="33" t="s">
        <v>26</v>
      </c>
      <c r="K83" s="31">
        <v>5</v>
      </c>
      <c r="L83" s="31" t="s">
        <v>197</v>
      </c>
      <c r="M83" s="32" t="s">
        <v>198</v>
      </c>
      <c r="N83" s="32"/>
      <c r="O83" s="32"/>
    </row>
    <row r="84" spans="2:15" ht="30" x14ac:dyDescent="0.25">
      <c r="B84" s="14" t="s">
        <v>60</v>
      </c>
      <c r="C84" s="127" t="s">
        <v>61</v>
      </c>
      <c r="D84" s="123">
        <v>112</v>
      </c>
      <c r="E84" s="285"/>
      <c r="F84" s="16">
        <f>SUM(F85:F86)</f>
        <v>0</v>
      </c>
      <c r="G84" s="16">
        <f t="shared" ref="G84:H84" si="11">SUM(G85:G86)</f>
        <v>0</v>
      </c>
      <c r="H84" s="16">
        <f t="shared" si="11"/>
        <v>0</v>
      </c>
      <c r="I84" s="33" t="s">
        <v>26</v>
      </c>
      <c r="K84" s="31"/>
      <c r="L84" s="31"/>
      <c r="M84" s="32"/>
      <c r="N84" s="32"/>
      <c r="O84" s="32"/>
    </row>
    <row r="85" spans="2:15" ht="77.25" customHeight="1" x14ac:dyDescent="0.25">
      <c r="B85" s="22" t="s">
        <v>195</v>
      </c>
      <c r="C85" s="127" t="s">
        <v>203</v>
      </c>
      <c r="D85" s="123">
        <v>112</v>
      </c>
      <c r="E85" s="285"/>
      <c r="F85" s="16">
        <f>'Утверждено (МЗ,ОП,ИЦ,КАП)'!I9+'Утверждено (МЗ,ОП,ИЦ,КАП)'!I114</f>
        <v>0</v>
      </c>
      <c r="G85" s="16">
        <f>'Утверждено (МЗ,ОП,ИЦ,КАП)'!J9+'Утверждено (МЗ,ОП,ИЦ,КАП)'!J114</f>
        <v>0</v>
      </c>
      <c r="H85" s="16">
        <f>'Утверждено (МЗ,ОП,ИЦ,КАП)'!K9+'Утверждено (МЗ,ОП,ИЦ,КАП)'!K114</f>
        <v>0</v>
      </c>
      <c r="I85" s="33" t="s">
        <v>26</v>
      </c>
      <c r="K85" s="31">
        <v>4</v>
      </c>
      <c r="L85" s="124" t="s">
        <v>204</v>
      </c>
      <c r="M85" s="382" t="s">
        <v>205</v>
      </c>
      <c r="N85" s="381"/>
      <c r="O85" s="32"/>
    </row>
    <row r="86" spans="2:15" ht="45" x14ac:dyDescent="0.25">
      <c r="B86" s="14" t="s">
        <v>199</v>
      </c>
      <c r="C86" s="127" t="s">
        <v>206</v>
      </c>
      <c r="D86" s="123">
        <v>112</v>
      </c>
      <c r="E86" s="285"/>
      <c r="F86" s="16">
        <f>'Утверждено (ПДД)'!D95</f>
        <v>0</v>
      </c>
      <c r="G86" s="16">
        <f>'Утверждено (ПДД)'!E95</f>
        <v>0</v>
      </c>
      <c r="H86" s="16">
        <f>'Утверждено (ПДД)'!F95</f>
        <v>0</v>
      </c>
      <c r="I86" s="33" t="s">
        <v>26</v>
      </c>
      <c r="K86" s="31">
        <v>2</v>
      </c>
      <c r="L86" s="124" t="s">
        <v>204</v>
      </c>
      <c r="M86" s="382" t="s">
        <v>205</v>
      </c>
      <c r="N86" s="381"/>
      <c r="O86" s="381"/>
    </row>
    <row r="87" spans="2:15" ht="46.5" customHeight="1" x14ac:dyDescent="0.25">
      <c r="B87" s="14" t="s">
        <v>62</v>
      </c>
      <c r="C87" s="127" t="s">
        <v>63</v>
      </c>
      <c r="D87" s="123">
        <v>113</v>
      </c>
      <c r="E87" s="285"/>
      <c r="F87" s="16">
        <f>SUM(F88:F89)</f>
        <v>0</v>
      </c>
      <c r="G87" s="16">
        <f t="shared" ref="G87:H87" si="12">SUM(G88:G89)</f>
        <v>0</v>
      </c>
      <c r="H87" s="16">
        <f t="shared" si="12"/>
        <v>0</v>
      </c>
      <c r="I87" s="33" t="s">
        <v>26</v>
      </c>
      <c r="K87" s="31"/>
      <c r="L87" s="31"/>
      <c r="M87" s="32"/>
      <c r="N87" s="32"/>
      <c r="O87" s="32"/>
    </row>
    <row r="88" spans="2:15" ht="76.5" customHeight="1" x14ac:dyDescent="0.25">
      <c r="B88" s="22" t="s">
        <v>195</v>
      </c>
      <c r="C88" s="127" t="s">
        <v>207</v>
      </c>
      <c r="D88" s="123">
        <v>113</v>
      </c>
      <c r="E88" s="285"/>
      <c r="F88" s="16"/>
      <c r="G88" s="16"/>
      <c r="H88" s="16"/>
      <c r="I88" s="33" t="s">
        <v>26</v>
      </c>
      <c r="K88" s="31">
        <v>4</v>
      </c>
      <c r="L88" s="31">
        <v>226</v>
      </c>
      <c r="M88" s="381" t="s">
        <v>208</v>
      </c>
      <c r="N88" s="381"/>
      <c r="O88" s="32"/>
    </row>
    <row r="89" spans="2:15" ht="45" x14ac:dyDescent="0.25">
      <c r="B89" s="14" t="s">
        <v>199</v>
      </c>
      <c r="C89" s="127" t="s">
        <v>209</v>
      </c>
      <c r="D89" s="123">
        <v>113</v>
      </c>
      <c r="E89" s="285"/>
      <c r="F89" s="16"/>
      <c r="G89" s="16"/>
      <c r="H89" s="16"/>
      <c r="I89" s="33" t="s">
        <v>26</v>
      </c>
      <c r="K89" s="31">
        <v>2</v>
      </c>
      <c r="L89" s="31">
        <v>226</v>
      </c>
      <c r="M89" s="381" t="s">
        <v>208</v>
      </c>
      <c r="N89" s="381"/>
      <c r="O89" s="32"/>
    </row>
    <row r="90" spans="2:15" ht="58.5" customHeight="1" x14ac:dyDescent="0.25">
      <c r="B90" s="14" t="s">
        <v>64</v>
      </c>
      <c r="C90" s="127" t="s">
        <v>65</v>
      </c>
      <c r="D90" s="123">
        <v>119</v>
      </c>
      <c r="E90" s="285"/>
      <c r="F90" s="16">
        <f>SUM(F91,F95)</f>
        <v>2988267</v>
      </c>
      <c r="G90" s="16">
        <f t="shared" ref="G90:H90" si="13">SUM(G91,G95)</f>
        <v>2988267</v>
      </c>
      <c r="H90" s="16">
        <f t="shared" si="13"/>
        <v>2988267</v>
      </c>
      <c r="I90" s="33" t="s">
        <v>26</v>
      </c>
      <c r="K90" s="31"/>
      <c r="L90" s="31"/>
      <c r="M90" s="32"/>
      <c r="N90" s="32"/>
      <c r="O90" s="32"/>
    </row>
    <row r="91" spans="2:15" ht="30" x14ac:dyDescent="0.25">
      <c r="B91" s="14" t="s">
        <v>66</v>
      </c>
      <c r="C91" s="127" t="s">
        <v>67</v>
      </c>
      <c r="D91" s="123">
        <v>119</v>
      </c>
      <c r="E91" s="285"/>
      <c r="F91" s="16">
        <f>SUM(F92:F94)</f>
        <v>2988267</v>
      </c>
      <c r="G91" s="16">
        <f t="shared" ref="G91:H91" si="14">SUM(G92:G94)</f>
        <v>2988267</v>
      </c>
      <c r="H91" s="16">
        <f t="shared" si="14"/>
        <v>2988267</v>
      </c>
      <c r="I91" s="33" t="s">
        <v>26</v>
      </c>
      <c r="K91" s="31"/>
      <c r="L91" s="31"/>
      <c r="M91" s="32"/>
      <c r="N91" s="32"/>
      <c r="O91" s="32"/>
    </row>
    <row r="92" spans="2:15" ht="91.5" customHeight="1" x14ac:dyDescent="0.25">
      <c r="B92" s="22" t="s">
        <v>210</v>
      </c>
      <c r="C92" s="127"/>
      <c r="D92" s="123">
        <v>119</v>
      </c>
      <c r="E92" s="285"/>
      <c r="F92" s="16">
        <f>'Утверждено (МЗ,ОП,ИЦ,КАП)'!I12+'Утверждено (МЗ,ОП,ИЦ,КАП)'!I115</f>
        <v>2988267</v>
      </c>
      <c r="G92" s="16">
        <f>'Утверждено (МЗ,ОП,ИЦ,КАП)'!J12+'Утверждено (МЗ,ОП,ИЦ,КАП)'!J115</f>
        <v>2988267</v>
      </c>
      <c r="H92" s="16">
        <f>'Утверждено (МЗ,ОП,ИЦ,КАП)'!K12+'Утверждено (МЗ,ОП,ИЦ,КАП)'!K115</f>
        <v>2988267</v>
      </c>
      <c r="I92" s="33" t="s">
        <v>26</v>
      </c>
      <c r="K92" s="31">
        <v>4</v>
      </c>
      <c r="L92" s="129">
        <v>213</v>
      </c>
      <c r="M92" s="215" t="s">
        <v>211</v>
      </c>
      <c r="N92" s="32"/>
      <c r="O92" s="32"/>
    </row>
    <row r="93" spans="2:15" ht="45" x14ac:dyDescent="0.25">
      <c r="B93" s="14" t="s">
        <v>212</v>
      </c>
      <c r="C93" s="127"/>
      <c r="D93" s="123">
        <v>119</v>
      </c>
      <c r="E93" s="285"/>
      <c r="F93" s="16">
        <f>'Утверждено (ПДД)'!D55</f>
        <v>0</v>
      </c>
      <c r="G93" s="16">
        <f>'Утверждено (ПДД)'!E55</f>
        <v>0</v>
      </c>
      <c r="H93" s="16">
        <f>'Утверждено (ПДД)'!F55</f>
        <v>0</v>
      </c>
      <c r="I93" s="33" t="s">
        <v>26</v>
      </c>
      <c r="K93" s="31">
        <v>2</v>
      </c>
      <c r="L93" s="129">
        <v>213</v>
      </c>
      <c r="M93" s="215" t="s">
        <v>211</v>
      </c>
      <c r="N93" s="32"/>
      <c r="O93" s="32"/>
    </row>
    <row r="94" spans="2:15" x14ac:dyDescent="0.25">
      <c r="B94" s="14" t="s">
        <v>213</v>
      </c>
      <c r="C94" s="127"/>
      <c r="D94" s="123">
        <v>119</v>
      </c>
      <c r="E94" s="285"/>
      <c r="F94" s="16">
        <f>'Утверждено (МЗ,ОП,ИЦ,КАП)'!I174</f>
        <v>0</v>
      </c>
      <c r="G94" s="16">
        <f>'Утверждено (МЗ,ОП,ИЦ,КАП)'!J174</f>
        <v>0</v>
      </c>
      <c r="H94" s="16">
        <f>'Утверждено (МЗ,ОП,ИЦ,КАП)'!K174</f>
        <v>0</v>
      </c>
      <c r="I94" s="33" t="s">
        <v>26</v>
      </c>
      <c r="K94" s="31">
        <v>5</v>
      </c>
      <c r="L94" s="31">
        <v>213</v>
      </c>
      <c r="M94" s="32" t="s">
        <v>211</v>
      </c>
      <c r="N94" s="32"/>
      <c r="O94" s="32"/>
    </row>
    <row r="95" spans="2:15" x14ac:dyDescent="0.25">
      <c r="B95" s="14" t="s">
        <v>68</v>
      </c>
      <c r="C95" s="127" t="s">
        <v>69</v>
      </c>
      <c r="D95" s="123">
        <v>119</v>
      </c>
      <c r="E95" s="285"/>
      <c r="F95" s="16">
        <f>SUM(F96:F97)</f>
        <v>0</v>
      </c>
      <c r="G95" s="16">
        <f t="shared" ref="G95:H95" si="15">SUM(G96:G97)</f>
        <v>0</v>
      </c>
      <c r="H95" s="16">
        <f t="shared" si="15"/>
        <v>0</v>
      </c>
      <c r="I95" s="33" t="s">
        <v>26</v>
      </c>
      <c r="J95" s="120"/>
      <c r="K95" s="31"/>
      <c r="L95" s="31"/>
      <c r="M95" s="32"/>
      <c r="N95" s="32"/>
      <c r="O95" s="32"/>
    </row>
    <row r="96" spans="2:15" ht="92.25" customHeight="1" x14ac:dyDescent="0.25">
      <c r="B96" s="22" t="s">
        <v>210</v>
      </c>
      <c r="C96" s="127"/>
      <c r="D96" s="123">
        <v>119</v>
      </c>
      <c r="E96" s="285"/>
      <c r="F96" s="16"/>
      <c r="G96" s="16"/>
      <c r="H96" s="16"/>
      <c r="I96" s="33"/>
      <c r="K96" s="31">
        <v>4</v>
      </c>
      <c r="L96" s="35" t="s">
        <v>214</v>
      </c>
      <c r="M96" s="381" t="s">
        <v>215</v>
      </c>
      <c r="N96" s="381"/>
      <c r="O96" s="32"/>
    </row>
    <row r="97" spans="2:15" ht="45" x14ac:dyDescent="0.25">
      <c r="B97" s="14" t="s">
        <v>212</v>
      </c>
      <c r="C97" s="127"/>
      <c r="D97" s="123">
        <v>119</v>
      </c>
      <c r="E97" s="285"/>
      <c r="F97" s="16"/>
      <c r="G97" s="16"/>
      <c r="H97" s="16"/>
      <c r="I97" s="33"/>
      <c r="K97" s="31">
        <v>2</v>
      </c>
      <c r="L97" s="35" t="s">
        <v>214</v>
      </c>
      <c r="M97" s="381" t="s">
        <v>215</v>
      </c>
      <c r="N97" s="381"/>
      <c r="O97" s="32"/>
    </row>
    <row r="98" spans="2:15" x14ac:dyDescent="0.25">
      <c r="B98" s="14" t="s">
        <v>70</v>
      </c>
      <c r="C98" s="127" t="s">
        <v>71</v>
      </c>
      <c r="D98" s="123">
        <v>300</v>
      </c>
      <c r="E98" s="285"/>
      <c r="F98" s="16">
        <f>SUM(F99,F105,F107,F109)</f>
        <v>0</v>
      </c>
      <c r="G98" s="16">
        <f t="shared" ref="G98:H98" si="16">SUM(G99,G105,G107,G109)</f>
        <v>0</v>
      </c>
      <c r="H98" s="16">
        <f t="shared" si="16"/>
        <v>0</v>
      </c>
      <c r="I98" s="33" t="s">
        <v>26</v>
      </c>
      <c r="K98" s="31"/>
      <c r="L98" s="31"/>
      <c r="M98" s="32"/>
      <c r="N98" s="32"/>
      <c r="O98" s="32"/>
    </row>
    <row r="99" spans="2:15" ht="45" x14ac:dyDescent="0.25">
      <c r="B99" s="14" t="s">
        <v>72</v>
      </c>
      <c r="C99" s="127" t="s">
        <v>73</v>
      </c>
      <c r="D99" s="123">
        <v>320</v>
      </c>
      <c r="E99" s="285"/>
      <c r="F99" s="16">
        <f>SUM(F100,F103)</f>
        <v>0</v>
      </c>
      <c r="G99" s="16">
        <f t="shared" ref="G99:H99" si="17">SUM(G100,G103)</f>
        <v>0</v>
      </c>
      <c r="H99" s="16">
        <f t="shared" si="17"/>
        <v>0</v>
      </c>
      <c r="I99" s="33" t="s">
        <v>26</v>
      </c>
      <c r="K99" s="31"/>
      <c r="L99" s="31"/>
      <c r="M99" s="32"/>
      <c r="N99" s="32"/>
      <c r="O99" s="32"/>
    </row>
    <row r="100" spans="2:15" ht="60" x14ac:dyDescent="0.25">
      <c r="B100" s="14" t="s">
        <v>74</v>
      </c>
      <c r="C100" s="127" t="s">
        <v>75</v>
      </c>
      <c r="D100" s="123">
        <v>321</v>
      </c>
      <c r="E100" s="285"/>
      <c r="F100" s="16">
        <f>SUM(F101:F102)</f>
        <v>0</v>
      </c>
      <c r="G100" s="16">
        <f t="shared" ref="G100:H100" si="18">SUM(G101:G102)</f>
        <v>0</v>
      </c>
      <c r="H100" s="16">
        <f t="shared" si="18"/>
        <v>0</v>
      </c>
      <c r="I100" s="33" t="s">
        <v>26</v>
      </c>
      <c r="K100" s="31"/>
      <c r="L100" s="31"/>
      <c r="M100" s="32"/>
      <c r="N100" s="32"/>
      <c r="O100" s="32"/>
    </row>
    <row r="101" spans="2:15" ht="91.5" customHeight="1" x14ac:dyDescent="0.25">
      <c r="B101" s="22" t="s">
        <v>210</v>
      </c>
      <c r="C101" s="127"/>
      <c r="D101" s="123">
        <v>321</v>
      </c>
      <c r="E101" s="285"/>
      <c r="F101" s="16"/>
      <c r="G101" s="16"/>
      <c r="H101" s="16"/>
      <c r="I101" s="33" t="s">
        <v>26</v>
      </c>
      <c r="K101" s="31">
        <v>4</v>
      </c>
      <c r="L101" s="31" t="s">
        <v>216</v>
      </c>
      <c r="M101" s="381" t="s">
        <v>217</v>
      </c>
      <c r="N101" s="381"/>
      <c r="O101" s="32"/>
    </row>
    <row r="102" spans="2:15" ht="45" x14ac:dyDescent="0.25">
      <c r="B102" s="14" t="s">
        <v>212</v>
      </c>
      <c r="C102" s="127"/>
      <c r="D102" s="123">
        <v>321</v>
      </c>
      <c r="E102" s="285"/>
      <c r="F102" s="16"/>
      <c r="G102" s="16"/>
      <c r="H102" s="16"/>
      <c r="I102" s="33" t="s">
        <v>26</v>
      </c>
      <c r="K102" s="31">
        <v>2</v>
      </c>
      <c r="L102" s="31" t="s">
        <v>218</v>
      </c>
      <c r="M102" s="381" t="s">
        <v>219</v>
      </c>
      <c r="N102" s="381"/>
      <c r="O102" s="381"/>
    </row>
    <row r="103" spans="2:15" ht="30" x14ac:dyDescent="0.25">
      <c r="B103" s="14" t="s">
        <v>220</v>
      </c>
      <c r="C103" s="127" t="s">
        <v>221</v>
      </c>
      <c r="D103" s="123">
        <v>323</v>
      </c>
      <c r="E103" s="285"/>
      <c r="F103" s="16">
        <f>SUM(F104)</f>
        <v>0</v>
      </c>
      <c r="G103" s="16">
        <f t="shared" ref="G103:H103" si="19">SUM(G104)</f>
        <v>0</v>
      </c>
      <c r="H103" s="16">
        <f t="shared" si="19"/>
        <v>0</v>
      </c>
      <c r="I103" s="33"/>
      <c r="K103" s="31"/>
      <c r="L103" s="31"/>
      <c r="M103" s="32"/>
      <c r="N103" s="32"/>
      <c r="O103" s="32"/>
    </row>
    <row r="104" spans="2:15" ht="31.5" customHeight="1" x14ac:dyDescent="0.25">
      <c r="B104" s="22" t="s">
        <v>222</v>
      </c>
      <c r="C104" s="127"/>
      <c r="D104" s="123">
        <v>323</v>
      </c>
      <c r="E104" s="285"/>
      <c r="F104" s="16"/>
      <c r="G104" s="16"/>
      <c r="H104" s="16"/>
      <c r="I104" s="33"/>
      <c r="K104" s="31">
        <v>5</v>
      </c>
      <c r="L104" s="31" t="s">
        <v>223</v>
      </c>
      <c r="M104" s="32" t="s">
        <v>224</v>
      </c>
      <c r="N104" s="32"/>
      <c r="O104" s="32"/>
    </row>
    <row r="105" spans="2:15" x14ac:dyDescent="0.25">
      <c r="B105" s="14" t="s">
        <v>76</v>
      </c>
      <c r="C105" s="127" t="s">
        <v>77</v>
      </c>
      <c r="D105" s="123">
        <v>340</v>
      </c>
      <c r="E105" s="285"/>
      <c r="F105" s="16">
        <f>SUM(F106)</f>
        <v>0</v>
      </c>
      <c r="G105" s="16">
        <f t="shared" ref="G105:H105" si="20">SUM(G106)</f>
        <v>0</v>
      </c>
      <c r="H105" s="16">
        <f t="shared" si="20"/>
        <v>0</v>
      </c>
      <c r="I105" s="33" t="s">
        <v>26</v>
      </c>
      <c r="K105" s="31"/>
      <c r="L105" s="31"/>
      <c r="M105" s="32"/>
      <c r="N105" s="32"/>
      <c r="O105" s="32"/>
    </row>
    <row r="106" spans="2:15" ht="30" customHeight="1" x14ac:dyDescent="0.25">
      <c r="B106" s="22" t="s">
        <v>222</v>
      </c>
      <c r="C106" s="127" t="s">
        <v>225</v>
      </c>
      <c r="D106" s="123">
        <v>340</v>
      </c>
      <c r="E106" s="285"/>
      <c r="F106" s="16"/>
      <c r="G106" s="16"/>
      <c r="H106" s="16"/>
      <c r="I106" s="33" t="s">
        <v>26</v>
      </c>
      <c r="K106" s="31">
        <v>5</v>
      </c>
      <c r="L106" s="31">
        <v>296</v>
      </c>
      <c r="M106" s="32" t="s">
        <v>226</v>
      </c>
      <c r="N106" s="32"/>
      <c r="O106" s="32"/>
    </row>
    <row r="107" spans="2:15" ht="89.25" hidden="1" customHeight="1" x14ac:dyDescent="0.25">
      <c r="B107" s="14" t="s">
        <v>78</v>
      </c>
      <c r="C107" s="127" t="s">
        <v>79</v>
      </c>
      <c r="D107" s="123">
        <v>350</v>
      </c>
      <c r="E107" s="285"/>
      <c r="F107" s="16">
        <f>SUM(F108)</f>
        <v>0</v>
      </c>
      <c r="G107" s="16">
        <f t="shared" ref="G107:H107" si="21">SUM(G108)</f>
        <v>0</v>
      </c>
      <c r="H107" s="16">
        <f t="shared" si="21"/>
        <v>0</v>
      </c>
      <c r="I107" s="33" t="s">
        <v>26</v>
      </c>
      <c r="J107" s="119" t="s">
        <v>227</v>
      </c>
      <c r="K107" s="31"/>
      <c r="L107" s="31"/>
      <c r="M107" s="32"/>
      <c r="N107" s="32"/>
      <c r="O107" s="32"/>
    </row>
    <row r="108" spans="2:15" ht="30" hidden="1" customHeight="1" x14ac:dyDescent="0.25">
      <c r="B108" s="22" t="s">
        <v>59</v>
      </c>
      <c r="C108" s="127"/>
      <c r="D108" s="123"/>
      <c r="E108" s="285"/>
      <c r="F108" s="16"/>
      <c r="G108" s="16"/>
      <c r="H108" s="16"/>
      <c r="I108" s="33" t="s">
        <v>26</v>
      </c>
      <c r="K108" s="31"/>
      <c r="L108" s="31"/>
      <c r="M108" s="32"/>
      <c r="N108" s="32"/>
      <c r="O108" s="32"/>
    </row>
    <row r="109" spans="2:15" ht="30.75" hidden="1" customHeight="1" x14ac:dyDescent="0.25">
      <c r="B109" s="14" t="s">
        <v>80</v>
      </c>
      <c r="C109" s="127" t="s">
        <v>81</v>
      </c>
      <c r="D109" s="123">
        <v>360</v>
      </c>
      <c r="E109" s="285"/>
      <c r="F109" s="16">
        <f>SUM(F110)</f>
        <v>0</v>
      </c>
      <c r="G109" s="16">
        <f t="shared" ref="G109:H109" si="22">SUM(G110)</f>
        <v>0</v>
      </c>
      <c r="H109" s="16">
        <f t="shared" si="22"/>
        <v>0</v>
      </c>
      <c r="I109" s="33" t="s">
        <v>26</v>
      </c>
      <c r="J109" s="119" t="s">
        <v>227</v>
      </c>
      <c r="K109" s="31"/>
      <c r="L109" s="31"/>
      <c r="M109" s="32"/>
      <c r="N109" s="32"/>
      <c r="O109" s="32"/>
    </row>
    <row r="110" spans="2:15" ht="30" hidden="1" customHeight="1" x14ac:dyDescent="0.25">
      <c r="B110" s="22" t="s">
        <v>59</v>
      </c>
      <c r="C110" s="127"/>
      <c r="D110" s="123"/>
      <c r="E110" s="285"/>
      <c r="F110" s="16"/>
      <c r="G110" s="16"/>
      <c r="H110" s="16"/>
      <c r="I110" s="33" t="s">
        <v>26</v>
      </c>
      <c r="K110" s="31"/>
      <c r="L110" s="31"/>
      <c r="M110" s="32"/>
      <c r="N110" s="32"/>
      <c r="O110" s="32"/>
    </row>
    <row r="111" spans="2:15" x14ac:dyDescent="0.25">
      <c r="B111" s="14" t="s">
        <v>82</v>
      </c>
      <c r="C111" s="127" t="s">
        <v>83</v>
      </c>
      <c r="D111" s="123">
        <v>850</v>
      </c>
      <c r="E111" s="285"/>
      <c r="F111" s="16">
        <f>SUM(F112,F115,F118)</f>
        <v>170276.2</v>
      </c>
      <c r="G111" s="16">
        <f t="shared" ref="G111:H111" si="23">SUM(G112,G115,G118)</f>
        <v>159965</v>
      </c>
      <c r="H111" s="16">
        <f t="shared" si="23"/>
        <v>159965</v>
      </c>
      <c r="I111" s="33" t="s">
        <v>26</v>
      </c>
      <c r="K111" s="31"/>
      <c r="L111" s="31"/>
      <c r="M111" s="32"/>
      <c r="N111" s="32"/>
      <c r="O111" s="32"/>
    </row>
    <row r="112" spans="2:15" ht="45" x14ac:dyDescent="0.25">
      <c r="B112" s="14" t="s">
        <v>84</v>
      </c>
      <c r="C112" s="127" t="s">
        <v>85</v>
      </c>
      <c r="D112" s="123">
        <v>851</v>
      </c>
      <c r="E112" s="285"/>
      <c r="F112" s="16">
        <f>SUM(F113:F114)</f>
        <v>155072</v>
      </c>
      <c r="G112" s="16">
        <f t="shared" ref="G112:H112" si="24">SUM(G113:G114)</f>
        <v>144965</v>
      </c>
      <c r="H112" s="16">
        <f t="shared" si="24"/>
        <v>144965</v>
      </c>
      <c r="I112" s="33" t="s">
        <v>26</v>
      </c>
      <c r="K112" s="31"/>
      <c r="L112" s="31"/>
      <c r="M112" s="32"/>
      <c r="N112" s="32"/>
      <c r="O112" s="32"/>
    </row>
    <row r="113" spans="2:15" ht="77.25" customHeight="1" x14ac:dyDescent="0.25">
      <c r="B113" s="22" t="s">
        <v>195</v>
      </c>
      <c r="C113" s="127" t="s">
        <v>228</v>
      </c>
      <c r="D113" s="123">
        <v>851</v>
      </c>
      <c r="E113" s="285"/>
      <c r="F113" s="16">
        <f>'Утверждено (МЗ,ОП,ИЦ,КАП)'!I55</f>
        <v>155072</v>
      </c>
      <c r="G113" s="16">
        <f>'Утверждено (МЗ,ОП,ИЦ,КАП)'!J55</f>
        <v>144965</v>
      </c>
      <c r="H113" s="16">
        <f>'Утверждено (МЗ,ОП,ИЦ,КАП)'!K55</f>
        <v>144965</v>
      </c>
      <c r="I113" s="33" t="s">
        <v>26</v>
      </c>
      <c r="K113" s="31">
        <v>4</v>
      </c>
      <c r="L113" s="124">
        <v>291</v>
      </c>
      <c r="M113" s="215" t="s">
        <v>229</v>
      </c>
      <c r="N113" s="32"/>
      <c r="O113" s="32"/>
    </row>
    <row r="114" spans="2:15" ht="45" x14ac:dyDescent="0.25">
      <c r="B114" s="14" t="s">
        <v>199</v>
      </c>
      <c r="C114" s="127" t="s">
        <v>230</v>
      </c>
      <c r="D114" s="123">
        <v>851</v>
      </c>
      <c r="E114" s="285"/>
      <c r="F114" s="16"/>
      <c r="G114" s="16"/>
      <c r="H114" s="16"/>
      <c r="I114" s="33" t="s">
        <v>26</v>
      </c>
      <c r="K114" s="31">
        <v>2</v>
      </c>
      <c r="L114" s="31">
        <v>291</v>
      </c>
      <c r="M114" s="32" t="s">
        <v>229</v>
      </c>
      <c r="N114" s="32"/>
      <c r="O114" s="32"/>
    </row>
    <row r="115" spans="2:15" ht="45.75" customHeight="1" x14ac:dyDescent="0.25">
      <c r="B115" s="14" t="s">
        <v>86</v>
      </c>
      <c r="C115" s="127" t="s">
        <v>87</v>
      </c>
      <c r="D115" s="123">
        <v>852</v>
      </c>
      <c r="E115" s="285"/>
      <c r="F115" s="16">
        <f>SUM(F116:F117)</f>
        <v>0</v>
      </c>
      <c r="G115" s="16">
        <f t="shared" ref="G115:H115" si="25">SUM(G116:G117)</f>
        <v>0</v>
      </c>
      <c r="H115" s="16">
        <f t="shared" si="25"/>
        <v>0</v>
      </c>
      <c r="I115" s="33" t="s">
        <v>26</v>
      </c>
      <c r="K115" s="31"/>
      <c r="L115" s="31"/>
      <c r="M115" s="32"/>
      <c r="N115" s="32"/>
      <c r="O115" s="32"/>
    </row>
    <row r="116" spans="2:15" ht="77.25" customHeight="1" x14ac:dyDescent="0.25">
      <c r="B116" s="22" t="s">
        <v>195</v>
      </c>
      <c r="C116" s="127" t="s">
        <v>231</v>
      </c>
      <c r="D116" s="123">
        <v>852</v>
      </c>
      <c r="E116" s="285"/>
      <c r="F116" s="16">
        <f>'Утверждено (МЗ,ОП,ИЦ,КАП)'!I53</f>
        <v>0</v>
      </c>
      <c r="G116" s="16">
        <f>'Утверждено (МЗ,ОП,ИЦ,КАП)'!J53</f>
        <v>0</v>
      </c>
      <c r="H116" s="16">
        <f>'Утверждено (МЗ,ОП,ИЦ,КАП)'!K53</f>
        <v>0</v>
      </c>
      <c r="I116" s="33" t="s">
        <v>26</v>
      </c>
      <c r="K116" s="31">
        <v>4</v>
      </c>
      <c r="L116" s="124">
        <v>291</v>
      </c>
      <c r="M116" s="215" t="s">
        <v>232</v>
      </c>
      <c r="N116" s="32"/>
      <c r="O116" s="32"/>
    </row>
    <row r="117" spans="2:15" ht="45" x14ac:dyDescent="0.25">
      <c r="B117" s="14" t="s">
        <v>199</v>
      </c>
      <c r="C117" s="127" t="s">
        <v>233</v>
      </c>
      <c r="D117" s="123">
        <v>852</v>
      </c>
      <c r="E117" s="285"/>
      <c r="F117" s="16">
        <f>'Утверждено (ПДД)'!D102</f>
        <v>0</v>
      </c>
      <c r="G117" s="16">
        <f>'Утверждено (ПДД)'!E102</f>
        <v>0</v>
      </c>
      <c r="H117" s="16">
        <f>'Утверждено (ПДД)'!F102</f>
        <v>0</v>
      </c>
      <c r="I117" s="33" t="s">
        <v>26</v>
      </c>
      <c r="K117" s="31">
        <v>2</v>
      </c>
      <c r="L117" s="124">
        <v>291</v>
      </c>
      <c r="M117" s="215" t="s">
        <v>232</v>
      </c>
      <c r="N117" s="32"/>
      <c r="O117" s="32"/>
    </row>
    <row r="118" spans="2:15" ht="30" x14ac:dyDescent="0.25">
      <c r="B118" s="14" t="s">
        <v>88</v>
      </c>
      <c r="C118" s="127" t="s">
        <v>89</v>
      </c>
      <c r="D118" s="123">
        <v>853</v>
      </c>
      <c r="E118" s="285"/>
      <c r="F118" s="16">
        <f>SUM(F119:F120)</f>
        <v>15204.2</v>
      </c>
      <c r="G118" s="16">
        <f t="shared" ref="G118:H118" si="26">SUM(G119:G120)</f>
        <v>15000</v>
      </c>
      <c r="H118" s="16">
        <f t="shared" si="26"/>
        <v>15000</v>
      </c>
      <c r="I118" s="33" t="s">
        <v>26</v>
      </c>
      <c r="K118" s="31"/>
      <c r="L118" s="31"/>
      <c r="M118" s="32"/>
      <c r="N118" s="32"/>
      <c r="O118" s="32"/>
    </row>
    <row r="119" spans="2:15" ht="77.25" customHeight="1" x14ac:dyDescent="0.25">
      <c r="B119" s="22" t="s">
        <v>195</v>
      </c>
      <c r="C119" s="127" t="s">
        <v>234</v>
      </c>
      <c r="D119" s="123">
        <v>853</v>
      </c>
      <c r="E119" s="285"/>
      <c r="F119" s="16">
        <f>'Утверждено (МЗ,ОП,ИЦ,КАП)'!I54</f>
        <v>204.2</v>
      </c>
      <c r="G119" s="16">
        <f>'Утверждено (МЗ,ОП,ИЦ,КАП)'!J54</f>
        <v>0</v>
      </c>
      <c r="H119" s="16">
        <f>'Утверждено (МЗ,ОП,ИЦ,КАП)'!K54</f>
        <v>0</v>
      </c>
      <c r="I119" s="33" t="s">
        <v>26</v>
      </c>
      <c r="K119" s="31">
        <v>4</v>
      </c>
      <c r="L119" s="124" t="s">
        <v>235</v>
      </c>
      <c r="M119" s="382" t="s">
        <v>236</v>
      </c>
      <c r="N119" s="381"/>
      <c r="O119" s="32"/>
    </row>
    <row r="120" spans="2:15" ht="45" x14ac:dyDescent="0.25">
      <c r="B120" s="14" t="s">
        <v>199</v>
      </c>
      <c r="C120" s="127" t="s">
        <v>237</v>
      </c>
      <c r="D120" s="123">
        <v>853</v>
      </c>
      <c r="E120" s="285"/>
      <c r="F120" s="16">
        <f>'Утверждено (ПДД)'!D101</f>
        <v>15000</v>
      </c>
      <c r="G120" s="16">
        <f>'Утверждено (ПДД)'!E101</f>
        <v>15000</v>
      </c>
      <c r="H120" s="16">
        <f>'Утверждено (ПДД)'!F101</f>
        <v>15000</v>
      </c>
      <c r="I120" s="33" t="s">
        <v>26</v>
      </c>
      <c r="K120" s="31">
        <v>2</v>
      </c>
      <c r="L120" s="124" t="s">
        <v>235</v>
      </c>
      <c r="M120" s="382" t="s">
        <v>236</v>
      </c>
      <c r="N120" s="381"/>
      <c r="O120" s="32"/>
    </row>
    <row r="121" spans="2:15" ht="30" hidden="1" x14ac:dyDescent="0.25">
      <c r="B121" s="14" t="s">
        <v>90</v>
      </c>
      <c r="C121" s="127" t="s">
        <v>91</v>
      </c>
      <c r="D121" s="123" t="s">
        <v>26</v>
      </c>
      <c r="E121" s="285"/>
      <c r="F121" s="16">
        <f>SUM(F122,F126,F130)</f>
        <v>0</v>
      </c>
      <c r="G121" s="16">
        <f t="shared" ref="G121:H121" si="27">SUM(G122,G126,G130)</f>
        <v>0</v>
      </c>
      <c r="H121" s="16">
        <f t="shared" si="27"/>
        <v>0</v>
      </c>
      <c r="I121" s="33" t="s">
        <v>26</v>
      </c>
      <c r="K121" s="31"/>
      <c r="L121" s="31"/>
      <c r="M121" s="32"/>
      <c r="N121" s="32"/>
      <c r="O121" s="32"/>
    </row>
    <row r="122" spans="2:15" ht="48" hidden="1" customHeight="1" x14ac:dyDescent="0.25">
      <c r="B122" s="14" t="s">
        <v>92</v>
      </c>
      <c r="C122" s="127" t="s">
        <v>93</v>
      </c>
      <c r="D122" s="123">
        <v>810</v>
      </c>
      <c r="E122" s="285"/>
      <c r="F122" s="16">
        <f>SUM(F123:F125)</f>
        <v>0</v>
      </c>
      <c r="G122" s="16">
        <f>SUM(G123:G125)</f>
        <v>0</v>
      </c>
      <c r="H122" s="16">
        <f>SUM(H123:H125)</f>
        <v>0</v>
      </c>
      <c r="I122" s="33" t="s">
        <v>26</v>
      </c>
      <c r="J122" s="119" t="s">
        <v>227</v>
      </c>
      <c r="K122" s="31"/>
      <c r="L122" s="31"/>
      <c r="M122" s="32"/>
      <c r="N122" s="32"/>
      <c r="O122" s="32"/>
    </row>
    <row r="123" spans="2:15" ht="30" hidden="1" customHeight="1" x14ac:dyDescent="0.25">
      <c r="B123" s="14" t="s">
        <v>59</v>
      </c>
      <c r="C123" s="127"/>
      <c r="D123" s="123"/>
      <c r="E123" s="285"/>
      <c r="F123" s="16"/>
      <c r="G123" s="16"/>
      <c r="H123" s="16"/>
      <c r="I123" s="33"/>
      <c r="K123" s="31"/>
      <c r="L123" s="31"/>
      <c r="M123" s="32"/>
      <c r="N123" s="32"/>
      <c r="O123" s="32"/>
    </row>
    <row r="124" spans="2:15" hidden="1" x14ac:dyDescent="0.25">
      <c r="B124" s="14"/>
      <c r="C124" s="127"/>
      <c r="D124" s="123"/>
      <c r="E124" s="285"/>
      <c r="F124" s="16"/>
      <c r="G124" s="16"/>
      <c r="H124" s="16"/>
      <c r="I124" s="33"/>
      <c r="K124" s="31"/>
      <c r="L124" s="31"/>
      <c r="M124" s="32"/>
      <c r="N124" s="32"/>
      <c r="O124" s="32"/>
    </row>
    <row r="125" spans="2:15" hidden="1" x14ac:dyDescent="0.25">
      <c r="B125" s="14"/>
      <c r="C125" s="127"/>
      <c r="D125" s="123"/>
      <c r="E125" s="285"/>
      <c r="F125" s="16"/>
      <c r="G125" s="16"/>
      <c r="H125" s="16"/>
      <c r="I125" s="33"/>
      <c r="K125" s="31"/>
      <c r="L125" s="31"/>
      <c r="M125" s="32"/>
      <c r="N125" s="32"/>
      <c r="O125" s="32"/>
    </row>
    <row r="126" spans="2:15" hidden="1" x14ac:dyDescent="0.25">
      <c r="B126" s="14" t="s">
        <v>94</v>
      </c>
      <c r="C126" s="127" t="s">
        <v>95</v>
      </c>
      <c r="D126" s="123">
        <v>862</v>
      </c>
      <c r="E126" s="285"/>
      <c r="F126" s="16">
        <f>SUM(F127:F129)</f>
        <v>0</v>
      </c>
      <c r="G126" s="16">
        <f>SUM(G127:G129)</f>
        <v>0</v>
      </c>
      <c r="H126" s="16">
        <f>SUM(H127:H129)</f>
        <v>0</v>
      </c>
      <c r="I126" s="33" t="s">
        <v>26</v>
      </c>
      <c r="J126" s="119" t="s">
        <v>227</v>
      </c>
      <c r="K126" s="31"/>
      <c r="L126" s="31"/>
      <c r="M126" s="32"/>
      <c r="N126" s="32"/>
      <c r="O126" s="32"/>
    </row>
    <row r="127" spans="2:15" ht="30" hidden="1" customHeight="1" x14ac:dyDescent="0.25">
      <c r="B127" s="14" t="s">
        <v>59</v>
      </c>
      <c r="C127" s="127"/>
      <c r="D127" s="123"/>
      <c r="E127" s="285"/>
      <c r="F127" s="16"/>
      <c r="G127" s="16"/>
      <c r="H127" s="16"/>
      <c r="I127" s="33"/>
      <c r="K127" s="31"/>
      <c r="L127" s="31"/>
      <c r="M127" s="32"/>
      <c r="N127" s="32"/>
      <c r="O127" s="32"/>
    </row>
    <row r="128" spans="2:15" hidden="1" x14ac:dyDescent="0.25">
      <c r="B128" s="14"/>
      <c r="C128" s="127"/>
      <c r="D128" s="123"/>
      <c r="E128" s="285"/>
      <c r="F128" s="16"/>
      <c r="G128" s="16"/>
      <c r="H128" s="16"/>
      <c r="I128" s="33"/>
      <c r="K128" s="31"/>
      <c r="L128" s="31"/>
      <c r="M128" s="32"/>
      <c r="N128" s="32"/>
      <c r="O128" s="32"/>
    </row>
    <row r="129" spans="2:15" hidden="1" x14ac:dyDescent="0.25">
      <c r="B129" s="14"/>
      <c r="C129" s="127"/>
      <c r="D129" s="123"/>
      <c r="E129" s="285"/>
      <c r="F129" s="16"/>
      <c r="G129" s="16"/>
      <c r="H129" s="16"/>
      <c r="I129" s="33"/>
      <c r="K129" s="31"/>
      <c r="L129" s="31"/>
      <c r="M129" s="32"/>
      <c r="N129" s="32"/>
      <c r="O129" s="32"/>
    </row>
    <row r="130" spans="2:15" ht="47.25" hidden="1" customHeight="1" x14ac:dyDescent="0.25">
      <c r="B130" s="14" t="s">
        <v>96</v>
      </c>
      <c r="C130" s="127" t="s">
        <v>97</v>
      </c>
      <c r="D130" s="123">
        <v>863</v>
      </c>
      <c r="E130" s="285"/>
      <c r="F130" s="16">
        <f>SUM(F131:F133)</f>
        <v>0</v>
      </c>
      <c r="G130" s="16">
        <f>SUM(G131:G133)</f>
        <v>0</v>
      </c>
      <c r="H130" s="16">
        <f>SUM(H131:H133)</f>
        <v>0</v>
      </c>
      <c r="I130" s="33" t="s">
        <v>26</v>
      </c>
      <c r="J130" s="119" t="s">
        <v>227</v>
      </c>
      <c r="K130" s="31"/>
      <c r="L130" s="31"/>
      <c r="M130" s="32"/>
      <c r="N130" s="32"/>
      <c r="O130" s="32"/>
    </row>
    <row r="131" spans="2:15" ht="30" hidden="1" customHeight="1" x14ac:dyDescent="0.25">
      <c r="B131" s="14" t="s">
        <v>59</v>
      </c>
      <c r="C131" s="127"/>
      <c r="D131" s="123"/>
      <c r="E131" s="285"/>
      <c r="F131" s="16"/>
      <c r="G131" s="16"/>
      <c r="H131" s="16"/>
      <c r="I131" s="33"/>
      <c r="K131" s="31"/>
      <c r="L131" s="31"/>
      <c r="M131" s="32"/>
      <c r="N131" s="32"/>
      <c r="O131" s="32"/>
    </row>
    <row r="132" spans="2:15" hidden="1" x14ac:dyDescent="0.25">
      <c r="B132" s="14"/>
      <c r="C132" s="127"/>
      <c r="D132" s="123"/>
      <c r="E132" s="285"/>
      <c r="F132" s="16"/>
      <c r="G132" s="16"/>
      <c r="H132" s="16"/>
      <c r="I132" s="33"/>
      <c r="K132" s="31"/>
      <c r="L132" s="31"/>
      <c r="M132" s="32"/>
      <c r="N132" s="32"/>
      <c r="O132" s="32"/>
    </row>
    <row r="133" spans="2:15" hidden="1" x14ac:dyDescent="0.25">
      <c r="B133" s="14"/>
      <c r="C133" s="127"/>
      <c r="D133" s="123"/>
      <c r="E133" s="285"/>
      <c r="F133" s="16"/>
      <c r="G133" s="16"/>
      <c r="H133" s="16"/>
      <c r="I133" s="33"/>
      <c r="K133" s="31"/>
      <c r="L133" s="31"/>
      <c r="M133" s="32"/>
      <c r="N133" s="32"/>
      <c r="O133" s="32"/>
    </row>
    <row r="134" spans="2:15" ht="30" x14ac:dyDescent="0.25">
      <c r="B134" s="14" t="s">
        <v>98</v>
      </c>
      <c r="C134" s="127" t="s">
        <v>99</v>
      </c>
      <c r="D134" s="123" t="s">
        <v>26</v>
      </c>
      <c r="E134" s="285"/>
      <c r="F134" s="16">
        <f>SUM(F135)</f>
        <v>0</v>
      </c>
      <c r="G134" s="16">
        <f t="shared" ref="G134:H134" si="28">SUM(G135)</f>
        <v>0</v>
      </c>
      <c r="H134" s="16">
        <f t="shared" si="28"/>
        <v>0</v>
      </c>
      <c r="I134" s="33" t="s">
        <v>26</v>
      </c>
      <c r="K134" s="31"/>
      <c r="L134" s="31"/>
      <c r="M134" s="32"/>
      <c r="N134" s="32"/>
      <c r="O134" s="32"/>
    </row>
    <row r="135" spans="2:15" ht="60" customHeight="1" x14ac:dyDescent="0.25">
      <c r="B135" s="14" t="s">
        <v>100</v>
      </c>
      <c r="C135" s="127" t="s">
        <v>101</v>
      </c>
      <c r="D135" s="123">
        <v>831</v>
      </c>
      <c r="E135" s="285"/>
      <c r="F135" s="16">
        <f>SUM(F136:F137)</f>
        <v>0</v>
      </c>
      <c r="G135" s="16">
        <f t="shared" ref="G135:H135" si="29">SUM(G136:G137)</f>
        <v>0</v>
      </c>
      <c r="H135" s="16">
        <f t="shared" si="29"/>
        <v>0</v>
      </c>
      <c r="I135" s="33" t="s">
        <v>26</v>
      </c>
      <c r="K135" s="31"/>
      <c r="L135" s="31"/>
      <c r="M135" s="32"/>
      <c r="N135" s="32"/>
      <c r="O135" s="32"/>
    </row>
    <row r="136" spans="2:15" ht="77.25" customHeight="1" x14ac:dyDescent="0.25">
      <c r="B136" s="22" t="s">
        <v>238</v>
      </c>
      <c r="C136" s="127" t="s">
        <v>239</v>
      </c>
      <c r="D136" s="123"/>
      <c r="E136" s="285"/>
      <c r="F136" s="16"/>
      <c r="G136" s="16"/>
      <c r="H136" s="16"/>
      <c r="I136" s="33" t="s">
        <v>26</v>
      </c>
      <c r="K136" s="31">
        <v>4</v>
      </c>
      <c r="L136" s="31" t="s">
        <v>240</v>
      </c>
      <c r="M136" s="32" t="s">
        <v>241</v>
      </c>
      <c r="N136" s="32"/>
      <c r="O136" s="32"/>
    </row>
    <row r="137" spans="2:15" ht="45" x14ac:dyDescent="0.25">
      <c r="B137" s="14" t="s">
        <v>242</v>
      </c>
      <c r="C137" s="127" t="s">
        <v>243</v>
      </c>
      <c r="D137" s="123"/>
      <c r="E137" s="285"/>
      <c r="F137" s="16"/>
      <c r="G137" s="16"/>
      <c r="H137" s="16"/>
      <c r="I137" s="33" t="s">
        <v>26</v>
      </c>
      <c r="K137" s="31">
        <v>2</v>
      </c>
      <c r="L137" s="31" t="s">
        <v>240</v>
      </c>
      <c r="M137" s="32" t="s">
        <v>241</v>
      </c>
      <c r="N137" s="32"/>
      <c r="O137" s="32"/>
    </row>
    <row r="138" spans="2:15" ht="15" customHeight="1" x14ac:dyDescent="0.25">
      <c r="B138" s="14" t="s">
        <v>102</v>
      </c>
      <c r="C138" s="127" t="s">
        <v>103</v>
      </c>
      <c r="D138" s="123" t="s">
        <v>26</v>
      </c>
      <c r="E138" s="285"/>
      <c r="F138" s="16">
        <f>SUM(F139,F143,F146,F164)</f>
        <v>6136050.1199999992</v>
      </c>
      <c r="G138" s="16">
        <f>SUM(G139,G143,G146,G164)</f>
        <v>5122412.2699999996</v>
      </c>
      <c r="H138" s="16">
        <f>SUM(H139,H143,H146,H164)</f>
        <v>5122412.2699999996</v>
      </c>
      <c r="I138" s="16">
        <f t="shared" ref="I138" si="30">SUM(I139,I143,I146)</f>
        <v>0</v>
      </c>
      <c r="K138" s="31"/>
      <c r="L138" s="31"/>
      <c r="M138" s="32"/>
      <c r="N138" s="32"/>
      <c r="O138" s="32"/>
    </row>
    <row r="139" spans="2:15" ht="45" x14ac:dyDescent="0.25">
      <c r="B139" s="14" t="s">
        <v>104</v>
      </c>
      <c r="C139" s="127" t="s">
        <v>105</v>
      </c>
      <c r="D139" s="123">
        <v>241</v>
      </c>
      <c r="E139" s="285"/>
      <c r="F139" s="16">
        <f>SUM(F140:F142)</f>
        <v>0</v>
      </c>
      <c r="G139" s="16">
        <f t="shared" ref="G139:I139" si="31">SUM(G140:G142)</f>
        <v>0</v>
      </c>
      <c r="H139" s="16">
        <f t="shared" si="31"/>
        <v>0</v>
      </c>
      <c r="I139" s="16">
        <f t="shared" si="31"/>
        <v>0</v>
      </c>
      <c r="K139" s="31"/>
      <c r="L139" s="31"/>
      <c r="M139" s="32"/>
      <c r="N139" s="32"/>
      <c r="O139" s="32"/>
    </row>
    <row r="140" spans="2:15" ht="75" customHeight="1" x14ac:dyDescent="0.25">
      <c r="B140" s="22" t="s">
        <v>195</v>
      </c>
      <c r="C140" s="127" t="s">
        <v>244</v>
      </c>
      <c r="D140" s="123">
        <v>241</v>
      </c>
      <c r="E140" s="285"/>
      <c r="F140" s="16"/>
      <c r="G140" s="16"/>
      <c r="H140" s="16"/>
      <c r="I140" s="33"/>
      <c r="K140" s="31">
        <v>4</v>
      </c>
      <c r="L140" s="31"/>
      <c r="M140" s="32"/>
      <c r="N140" s="32"/>
      <c r="O140" s="32"/>
    </row>
    <row r="141" spans="2:15" ht="45" x14ac:dyDescent="0.25">
      <c r="B141" s="14" t="s">
        <v>199</v>
      </c>
      <c r="C141" s="127" t="s">
        <v>245</v>
      </c>
      <c r="D141" s="123">
        <v>241</v>
      </c>
      <c r="E141" s="285"/>
      <c r="F141" s="16"/>
      <c r="G141" s="16"/>
      <c r="H141" s="16"/>
      <c r="I141" s="33"/>
      <c r="K141" s="31">
        <v>2</v>
      </c>
      <c r="L141" s="31"/>
      <c r="M141" s="32"/>
      <c r="N141" s="32"/>
      <c r="O141" s="32"/>
    </row>
    <row r="142" spans="2:15" x14ac:dyDescent="0.25">
      <c r="B142" s="14" t="s">
        <v>201</v>
      </c>
      <c r="C142" s="127" t="s">
        <v>246</v>
      </c>
      <c r="D142" s="123">
        <v>241</v>
      </c>
      <c r="E142" s="285"/>
      <c r="F142" s="16"/>
      <c r="G142" s="16"/>
      <c r="H142" s="16"/>
      <c r="I142" s="33"/>
      <c r="K142" s="31">
        <v>5</v>
      </c>
      <c r="L142" s="31"/>
      <c r="M142" s="32"/>
      <c r="N142" s="32"/>
      <c r="O142" s="32"/>
    </row>
    <row r="143" spans="2:15" ht="45" x14ac:dyDescent="0.25">
      <c r="B143" s="14" t="s">
        <v>106</v>
      </c>
      <c r="C143" s="127" t="s">
        <v>107</v>
      </c>
      <c r="D143" s="123">
        <v>243</v>
      </c>
      <c r="E143" s="285"/>
      <c r="F143" s="16">
        <f>SUM(F144:F145)</f>
        <v>0</v>
      </c>
      <c r="G143" s="16">
        <f t="shared" ref="G143:H143" si="32">SUM(G144:G145)</f>
        <v>0</v>
      </c>
      <c r="H143" s="16">
        <f t="shared" si="32"/>
        <v>0</v>
      </c>
      <c r="I143" s="16">
        <f t="shared" ref="I143" si="33">SUM(I145)</f>
        <v>0</v>
      </c>
      <c r="K143" s="31"/>
      <c r="L143" s="31"/>
      <c r="M143" s="32"/>
      <c r="N143" s="32"/>
      <c r="O143" s="32"/>
    </row>
    <row r="144" spans="2:15" ht="45" x14ac:dyDescent="0.25">
      <c r="B144" s="14" t="s">
        <v>212</v>
      </c>
      <c r="C144" s="127" t="s">
        <v>247</v>
      </c>
      <c r="D144" s="123">
        <v>243</v>
      </c>
      <c r="E144" s="285"/>
      <c r="F144" s="286">
        <f>'Утверждено (ПДД)'!D389</f>
        <v>0</v>
      </c>
      <c r="G144" s="16"/>
      <c r="H144" s="16"/>
      <c r="I144" s="16"/>
      <c r="K144" s="31">
        <v>2</v>
      </c>
      <c r="L144" s="31"/>
      <c r="M144" s="269"/>
      <c r="N144" s="269"/>
      <c r="O144" s="269"/>
    </row>
    <row r="145" spans="2:15" ht="30" customHeight="1" x14ac:dyDescent="0.25">
      <c r="B145" s="22" t="s">
        <v>222</v>
      </c>
      <c r="C145" s="127" t="s">
        <v>697</v>
      </c>
      <c r="D145" s="123">
        <v>243</v>
      </c>
      <c r="E145" s="285"/>
      <c r="F145" s="16"/>
      <c r="G145" s="16"/>
      <c r="H145" s="16"/>
      <c r="I145" s="33"/>
      <c r="K145" s="31">
        <v>5</v>
      </c>
      <c r="L145" s="36" t="s">
        <v>248</v>
      </c>
      <c r="M145" s="32"/>
      <c r="N145" s="32"/>
      <c r="O145" s="32"/>
    </row>
    <row r="146" spans="2:15" x14ac:dyDescent="0.25">
      <c r="B146" s="14" t="s">
        <v>108</v>
      </c>
      <c r="C146" s="127" t="s">
        <v>109</v>
      </c>
      <c r="D146" s="123">
        <v>244</v>
      </c>
      <c r="E146" s="285"/>
      <c r="F146" s="16">
        <f>SUM(F147,F151,F155)</f>
        <v>5500360.3099999996</v>
      </c>
      <c r="G146" s="16">
        <f t="shared" ref="G146:I146" si="34">SUM(G147,G151,G155)</f>
        <v>4484527.5599999996</v>
      </c>
      <c r="H146" s="16">
        <f t="shared" si="34"/>
        <v>4484527.5599999996</v>
      </c>
      <c r="I146" s="16">
        <f t="shared" si="34"/>
        <v>0</v>
      </c>
      <c r="K146" s="31"/>
      <c r="L146" s="31"/>
      <c r="M146" s="32"/>
      <c r="N146" s="32"/>
      <c r="O146" s="32"/>
    </row>
    <row r="147" spans="2:15" ht="72.75" customHeight="1" x14ac:dyDescent="0.25">
      <c r="B147" s="22" t="s">
        <v>249</v>
      </c>
      <c r="C147" s="127" t="s">
        <v>250</v>
      </c>
      <c r="D147" s="123">
        <v>244</v>
      </c>
      <c r="E147" s="285"/>
      <c r="F147" s="16">
        <f>SUM(F148:F150)</f>
        <v>430886.22000000003</v>
      </c>
      <c r="G147" s="16">
        <f t="shared" ref="G147:I147" si="35">SUM(G148:G150)</f>
        <v>334573.56</v>
      </c>
      <c r="H147" s="16">
        <f t="shared" si="35"/>
        <v>334573.56</v>
      </c>
      <c r="I147" s="16">
        <f t="shared" si="35"/>
        <v>0</v>
      </c>
      <c r="K147" s="31"/>
      <c r="L147" s="31"/>
      <c r="M147" s="32"/>
      <c r="N147" s="32"/>
      <c r="O147" s="32"/>
    </row>
    <row r="148" spans="2:15" ht="30" x14ac:dyDescent="0.25">
      <c r="B148" s="37" t="s">
        <v>251</v>
      </c>
      <c r="C148" s="127"/>
      <c r="D148" s="123">
        <v>244</v>
      </c>
      <c r="E148" s="285"/>
      <c r="F148" s="16">
        <f>'Утверждено (МЗ,ОП,ИЦ,КАП)'!I13+'Утверждено (МЗ,ОП,ИЦ,КАП)'!I20+'Утверждено (МЗ,ОП,ИЦ,КАП)'!I22+'Утверждено (МЗ,ОП,ИЦ,КАП)'!I23+'Утверждено (МЗ,ОП,ИЦ,КАП)'!I41+'Утверждено (МЗ,ОП,ИЦ,КАП)'!I63+'Утверждено (МЗ,ОП,ИЦ,КАП)'!I70+'Утверждено (МЗ,ОП,ИЦ,КАП)'!I116+'Утверждено (МЗ,ОП,ИЦ,КАП)'!I120+'Утверждено (МЗ,ОП,ИЦ,КАП)'!I143+'Утверждено (МЗ,ОП,ИЦ,КАП)'!I67+'Утверждено (МЗ,ОП,ИЦ,КАП)'!I52+'Утверждено (МЗ,ОП,ИЦ,КАП)'!I21</f>
        <v>321667.22000000003</v>
      </c>
      <c r="G148" s="16">
        <f>'Утверждено (МЗ,ОП,ИЦ,КАП)'!J13+'Утверждено (МЗ,ОП,ИЦ,КАП)'!J20+'Утверждено (МЗ,ОП,ИЦ,КАП)'!J22+'Утверждено (МЗ,ОП,ИЦ,КАП)'!J23+'Утверждено (МЗ,ОП,ИЦ,КАП)'!J41+'Утверждено (МЗ,ОП,ИЦ,КАП)'!J63+'Утверждено (МЗ,ОП,ИЦ,КАП)'!J70+'Утверждено (МЗ,ОП,ИЦ,КАП)'!J116+'Утверждено (МЗ,ОП,ИЦ,КАП)'!J120+'Утверждено (МЗ,ОП,ИЦ,КАП)'!J143+'Утверждено (МЗ,ОП,ИЦ,КАП)'!J67+'Утверждено (МЗ,ОП,ИЦ,КАП)'!J52+'Утверждено (МЗ,ОП,ИЦ,КАП)'!J21</f>
        <v>225354.56</v>
      </c>
      <c r="H148" s="16">
        <f>'Утверждено (МЗ,ОП,ИЦ,КАП)'!K13+'Утверждено (МЗ,ОП,ИЦ,КАП)'!K20+'Утверждено (МЗ,ОП,ИЦ,КАП)'!K22+'Утверждено (МЗ,ОП,ИЦ,КАП)'!K23+'Утверждено (МЗ,ОП,ИЦ,КАП)'!K41+'Утверждено (МЗ,ОП,ИЦ,КАП)'!K63+'Утверждено (МЗ,ОП,ИЦ,КАП)'!K70+'Утверждено (МЗ,ОП,ИЦ,КАП)'!K116+'Утверждено (МЗ,ОП,ИЦ,КАП)'!K120+'Утверждено (МЗ,ОП,ИЦ,КАП)'!K143+'Утверждено (МЗ,ОП,ИЦ,КАП)'!K67+'Утверждено (МЗ,ОП,ИЦ,КАП)'!K52+'Утверждено (МЗ,ОП,ИЦ,КАП)'!K21</f>
        <v>225354.56</v>
      </c>
      <c r="I148" s="16"/>
      <c r="K148" s="135">
        <v>4</v>
      </c>
      <c r="L148" s="124">
        <v>220</v>
      </c>
      <c r="M148" s="32"/>
      <c r="N148" s="32"/>
      <c r="O148" s="32"/>
    </row>
    <row r="149" spans="2:15" x14ac:dyDescent="0.25">
      <c r="B149" s="37" t="s">
        <v>252</v>
      </c>
      <c r="C149" s="127"/>
      <c r="D149" s="123">
        <v>244</v>
      </c>
      <c r="E149" s="285"/>
      <c r="F149" s="16">
        <f>'Утверждено (МЗ,ОП,ИЦ,КАП)'!I121</f>
        <v>25735</v>
      </c>
      <c r="G149" s="16">
        <f>'Утверждено (МЗ,ОП,ИЦ,КАП)'!J121</f>
        <v>25735</v>
      </c>
      <c r="H149" s="16">
        <f>'Утверждено (МЗ,ОП,ИЦ,КАП)'!K121</f>
        <v>25735</v>
      </c>
      <c r="I149" s="16"/>
      <c r="K149" s="135">
        <v>4</v>
      </c>
      <c r="L149" s="124">
        <v>310</v>
      </c>
      <c r="M149" s="32"/>
      <c r="N149" s="32"/>
      <c r="O149" s="32"/>
    </row>
    <row r="150" spans="2:15" ht="15" customHeight="1" x14ac:dyDescent="0.25">
      <c r="B150" s="37" t="s">
        <v>253</v>
      </c>
      <c r="C150" s="127"/>
      <c r="D150" s="123">
        <v>244</v>
      </c>
      <c r="E150" s="285"/>
      <c r="F150" s="16">
        <f>'Утверждено (МЗ,ОП,ИЦ,КАП)'!I58+'Утверждено (МЗ,ОП,ИЦ,КАП)'!I122</f>
        <v>83484</v>
      </c>
      <c r="G150" s="16">
        <f>'Утверждено (МЗ,ОП,ИЦ,КАП)'!J58+'Утверждено (МЗ,ОП,ИЦ,КАП)'!J122</f>
        <v>83484</v>
      </c>
      <c r="H150" s="16">
        <f>'Утверждено (МЗ,ОП,ИЦ,КАП)'!K58+'Утверждено (МЗ,ОП,ИЦ,КАП)'!K122</f>
        <v>83484</v>
      </c>
      <c r="I150" s="16"/>
      <c r="K150" s="135">
        <v>4</v>
      </c>
      <c r="L150" s="124">
        <v>340</v>
      </c>
      <c r="M150" s="32"/>
      <c r="N150" s="32"/>
      <c r="O150" s="32"/>
    </row>
    <row r="151" spans="2:15" ht="45" x14ac:dyDescent="0.25">
      <c r="B151" s="14" t="s">
        <v>176</v>
      </c>
      <c r="C151" s="127" t="s">
        <v>254</v>
      </c>
      <c r="D151" s="123"/>
      <c r="E151" s="285"/>
      <c r="F151" s="16">
        <f>SUM(F152:F154)</f>
        <v>5043243.7699999996</v>
      </c>
      <c r="G151" s="16">
        <f t="shared" ref="G151:I151" si="36">SUM(G152:G154)</f>
        <v>4149954</v>
      </c>
      <c r="H151" s="16">
        <f t="shared" si="36"/>
        <v>4149954</v>
      </c>
      <c r="I151" s="16">
        <f t="shared" si="36"/>
        <v>0</v>
      </c>
      <c r="K151" s="135"/>
      <c r="L151" s="31"/>
      <c r="M151" s="32"/>
      <c r="N151" s="32"/>
      <c r="O151" s="32"/>
    </row>
    <row r="152" spans="2:15" ht="30" x14ac:dyDescent="0.25">
      <c r="B152" s="37" t="s">
        <v>251</v>
      </c>
      <c r="C152" s="127"/>
      <c r="D152" s="123">
        <v>244</v>
      </c>
      <c r="E152" s="285"/>
      <c r="F152" s="16">
        <f>'Утверждено (ПДД)'!D56+'Утверждено (ПДД)'!D57+'Утверждено (ПДД)'!D61+'Утверждено (ПДД)'!D63+'Утверждено (ПДД)'!D64+'Утверждено (ПДД)'!D80+'Утверждено (ПДД)'!D103+'Утверждено (ПДД)'!D100+'Утверждено (ПДД)'!D62</f>
        <v>734759</v>
      </c>
      <c r="G152" s="16">
        <f>'Утверждено (ПДД)'!E56+'Утверждено (ПДД)'!E57+'Утверждено (ПДД)'!E61+'Утверждено (ПДД)'!E63+'Утверждено (ПДД)'!E64+'Утверждено (ПДД)'!E80+'Утверждено (ПДД)'!E103+'Утверждено (ПДД)'!E100+'Утверждено (ПДД)'!E62</f>
        <v>314720</v>
      </c>
      <c r="H152" s="16">
        <f>'Утверждено (ПДД)'!F56+'Утверждено (ПДД)'!F57+'Утверждено (ПДД)'!F61+'Утверждено (ПДД)'!F63+'Утверждено (ПДД)'!F64+'Утверждено (ПДД)'!F80+'Утверждено (ПДД)'!F103+'Утверждено (ПДД)'!F100+'Утверждено (ПДД)'!F62</f>
        <v>314720</v>
      </c>
      <c r="I152" s="16"/>
      <c r="K152" s="135">
        <v>2</v>
      </c>
      <c r="L152" s="124">
        <v>220</v>
      </c>
      <c r="M152" s="32"/>
      <c r="N152" s="32"/>
      <c r="O152" s="32"/>
    </row>
    <row r="153" spans="2:15" x14ac:dyDescent="0.25">
      <c r="B153" s="37" t="s">
        <v>252</v>
      </c>
      <c r="C153" s="127"/>
      <c r="D153" s="123">
        <v>244</v>
      </c>
      <c r="E153" s="285"/>
      <c r="F153" s="16">
        <f>'Утверждено (ПДД)'!D104</f>
        <v>696041</v>
      </c>
      <c r="G153" s="16">
        <f>'Утверждено (ПДД)'!E104</f>
        <v>594917</v>
      </c>
      <c r="H153" s="16">
        <f>'Утверждено (ПДД)'!F104</f>
        <v>594917</v>
      </c>
      <c r="I153" s="16"/>
      <c r="K153" s="135">
        <v>2</v>
      </c>
      <c r="L153" s="124">
        <v>310</v>
      </c>
      <c r="M153" s="32"/>
      <c r="N153" s="32"/>
      <c r="O153" s="32"/>
    </row>
    <row r="154" spans="2:15" ht="15" customHeight="1" x14ac:dyDescent="0.25">
      <c r="B154" s="37" t="s">
        <v>253</v>
      </c>
      <c r="C154" s="127"/>
      <c r="D154" s="123">
        <v>244</v>
      </c>
      <c r="E154" s="285"/>
      <c r="F154" s="16">
        <f>'Утверждено (ПДД)'!D119</f>
        <v>3612443.77</v>
      </c>
      <c r="G154" s="16">
        <f>'Утверждено (ПДД)'!E119</f>
        <v>3240317</v>
      </c>
      <c r="H154" s="16">
        <f>'Утверждено (ПДД)'!F119</f>
        <v>3240317</v>
      </c>
      <c r="I154" s="16"/>
      <c r="K154" s="135">
        <v>2</v>
      </c>
      <c r="L154" s="124">
        <v>340</v>
      </c>
      <c r="M154" s="32"/>
      <c r="N154" s="32"/>
      <c r="O154" s="32"/>
    </row>
    <row r="155" spans="2:15" ht="15" customHeight="1" x14ac:dyDescent="0.25">
      <c r="B155" s="37" t="s">
        <v>255</v>
      </c>
      <c r="C155" s="127"/>
      <c r="D155" s="123"/>
      <c r="E155" s="285"/>
      <c r="F155" s="16">
        <f>SUM(F156:F158)</f>
        <v>26230.32</v>
      </c>
      <c r="G155" s="16">
        <f t="shared" ref="G155:I155" si="37">SUM(G156:G158)</f>
        <v>0</v>
      </c>
      <c r="H155" s="16">
        <f t="shared" si="37"/>
        <v>0</v>
      </c>
      <c r="I155" s="16">
        <f t="shared" si="37"/>
        <v>0</v>
      </c>
      <c r="K155" s="135"/>
      <c r="L155" s="31"/>
      <c r="M155" s="32"/>
      <c r="N155" s="32"/>
      <c r="O155" s="32"/>
    </row>
    <row r="156" spans="2:15" ht="30" x14ac:dyDescent="0.25">
      <c r="B156" s="37" t="s">
        <v>251</v>
      </c>
      <c r="C156" s="127"/>
      <c r="D156" s="123">
        <v>244</v>
      </c>
      <c r="E156" s="285"/>
      <c r="F156" s="16">
        <f>'Утверждено (МЗ,ОП,ИЦ,КАП)'!I149+'Утверждено (МЗ,ОП,ИЦ,КАП)'!I153+'Утверждено (МЗ,ОП,ИЦ,КАП)'!I157+'Утверждено (МЗ,ОП,ИЦ,КАП)'!I161+'Утверждено (МЗ,ОП,ИЦ,КАП)'!I165+'Утверждено (МЗ,ОП,ИЦ,КАП)'!I169+'Утверждено (МЗ,ОП,ИЦ,КАП)'!I175+'Утверждено (МЗ,ОП,ИЦ,КАП)'!I178+'Утверждено (МЗ,ОП,ИЦ,КАП)'!I183</f>
        <v>26230.32</v>
      </c>
      <c r="G156" s="16">
        <f>'Утверждено (МЗ,ОП,ИЦ,КАП)'!J149+'Утверждено (МЗ,ОП,ИЦ,КАП)'!J153+'Утверждено (МЗ,ОП,ИЦ,КАП)'!J157+'Утверждено (МЗ,ОП,ИЦ,КАП)'!J161+'Утверждено (МЗ,ОП,ИЦ,КАП)'!J165+'Утверждено (МЗ,ОП,ИЦ,КАП)'!J169+'Утверждено (МЗ,ОП,ИЦ,КАП)'!J175+'Утверждено (МЗ,ОП,ИЦ,КАП)'!J178+'Утверждено (МЗ,ОП,ИЦ,КАП)'!J183</f>
        <v>0</v>
      </c>
      <c r="H156" s="16">
        <f>'Утверждено (МЗ,ОП,ИЦ,КАП)'!K149+'Утверждено (МЗ,ОП,ИЦ,КАП)'!K153+'Утверждено (МЗ,ОП,ИЦ,КАП)'!K157+'Утверждено (МЗ,ОП,ИЦ,КАП)'!K161+'Утверждено (МЗ,ОП,ИЦ,КАП)'!K165+'Утверждено (МЗ,ОП,ИЦ,КАП)'!K169+'Утверждено (МЗ,ОП,ИЦ,КАП)'!K175+'Утверждено (МЗ,ОП,ИЦ,КАП)'!K178+'Утверждено (МЗ,ОП,ИЦ,КАП)'!K183</f>
        <v>0</v>
      </c>
      <c r="I156" s="16"/>
      <c r="K156" s="135">
        <v>5</v>
      </c>
      <c r="L156" s="124">
        <v>220</v>
      </c>
      <c r="M156" s="32"/>
      <c r="N156" s="32"/>
      <c r="O156" s="32"/>
    </row>
    <row r="157" spans="2:15" x14ac:dyDescent="0.25">
      <c r="B157" s="37" t="s">
        <v>252</v>
      </c>
      <c r="C157" s="127"/>
      <c r="D157" s="123">
        <v>244</v>
      </c>
      <c r="E157" s="285"/>
      <c r="F157" s="16">
        <f>'Утверждено (МЗ,ОП,ИЦ,КАП)'!I150+'Утверждено (МЗ,ОП,ИЦ,КАП)'!I154+'Утверждено (МЗ,ОП,ИЦ,КАП)'!I158+'Утверждено (МЗ,ОП,ИЦ,КАП)'!I162+'Утверждено (МЗ,ОП,ИЦ,КАП)'!I166+'Утверждено (МЗ,ОП,ИЦ,КАП)'!I170+'Утверждено (МЗ,ОП,ИЦ,КАП)'!I179+'Утверждено (МЗ,ОП,ИЦ,КАП)'!I184</f>
        <v>0</v>
      </c>
      <c r="G157" s="16">
        <f>'Утверждено (МЗ,ОП,ИЦ,КАП)'!J150+'Утверждено (МЗ,ОП,ИЦ,КАП)'!J154+'Утверждено (МЗ,ОП,ИЦ,КАП)'!J158+'Утверждено (МЗ,ОП,ИЦ,КАП)'!J162+'Утверждено (МЗ,ОП,ИЦ,КАП)'!J166+'Утверждено (МЗ,ОП,ИЦ,КАП)'!J170+'Утверждено (МЗ,ОП,ИЦ,КАП)'!J179+'Утверждено (МЗ,ОП,ИЦ,КАП)'!J184</f>
        <v>0</v>
      </c>
      <c r="H157" s="16">
        <f>'Утверждено (МЗ,ОП,ИЦ,КАП)'!K150+'Утверждено (МЗ,ОП,ИЦ,КАП)'!K154+'Утверждено (МЗ,ОП,ИЦ,КАП)'!K158+'Утверждено (МЗ,ОП,ИЦ,КАП)'!K162+'Утверждено (МЗ,ОП,ИЦ,КАП)'!K166+'Утверждено (МЗ,ОП,ИЦ,КАП)'!K170+'Утверждено (МЗ,ОП,ИЦ,КАП)'!K179+'Утверждено (МЗ,ОП,ИЦ,КАП)'!K184</f>
        <v>0</v>
      </c>
      <c r="I157" s="16"/>
      <c r="K157" s="135">
        <v>5</v>
      </c>
      <c r="L157" s="124">
        <v>310</v>
      </c>
      <c r="M157" s="32"/>
      <c r="N157" s="32"/>
      <c r="O157" s="32"/>
    </row>
    <row r="158" spans="2:15" ht="15" customHeight="1" x14ac:dyDescent="0.25">
      <c r="B158" s="37" t="s">
        <v>253</v>
      </c>
      <c r="C158" s="127"/>
      <c r="D158" s="123">
        <v>244</v>
      </c>
      <c r="E158" s="285"/>
      <c r="F158" s="16">
        <f>'Утверждено (МЗ,ОП,ИЦ,КАП)'!I151+'Утверждено (МЗ,ОП,ИЦ,КАП)'!I155+'Утверждено (МЗ,ОП,ИЦ,КАП)'!I159+'Утверждено (МЗ,ОП,ИЦ,КАП)'!I163+'Утверждено (МЗ,ОП,ИЦ,КАП)'!I167+'Утверждено (МЗ,ОП,ИЦ,КАП)'!I171+'Утверждено (МЗ,ОП,ИЦ,КАП)'!I180+'Утверждено (МЗ,ОП,ИЦ,КАП)'!I185</f>
        <v>0</v>
      </c>
      <c r="G158" s="16">
        <f>'Утверждено (МЗ,ОП,ИЦ,КАП)'!J151+'Утверждено (МЗ,ОП,ИЦ,КАП)'!J155+'Утверждено (МЗ,ОП,ИЦ,КАП)'!J159+'Утверждено (МЗ,ОП,ИЦ,КАП)'!J163+'Утверждено (МЗ,ОП,ИЦ,КАП)'!J167+'Утверждено (МЗ,ОП,ИЦ,КАП)'!J171+'Утверждено (МЗ,ОП,ИЦ,КАП)'!J180+'Утверждено (МЗ,ОП,ИЦ,КАП)'!J185</f>
        <v>0</v>
      </c>
      <c r="H158" s="16">
        <f>'Утверждено (МЗ,ОП,ИЦ,КАП)'!K151+'Утверждено (МЗ,ОП,ИЦ,КАП)'!K155+'Утверждено (МЗ,ОП,ИЦ,КАП)'!K159+'Утверждено (МЗ,ОП,ИЦ,КАП)'!K163+'Утверждено (МЗ,ОП,ИЦ,КАП)'!K167+'Утверждено (МЗ,ОП,ИЦ,КАП)'!K171+'Утверждено (МЗ,ОП,ИЦ,КАП)'!K180+'Утверждено (МЗ,ОП,ИЦ,КАП)'!K185</f>
        <v>0</v>
      </c>
      <c r="I158" s="16"/>
      <c r="K158" s="135">
        <v>5</v>
      </c>
      <c r="L158" s="124">
        <v>340</v>
      </c>
      <c r="M158" s="32"/>
      <c r="N158" s="32"/>
      <c r="O158" s="32"/>
    </row>
    <row r="159" spans="2:15" ht="30" x14ac:dyDescent="0.25">
      <c r="B159" s="14" t="s">
        <v>110</v>
      </c>
      <c r="C159" s="127" t="s">
        <v>111</v>
      </c>
      <c r="D159" s="123">
        <v>400</v>
      </c>
      <c r="E159" s="285"/>
      <c r="F159" s="16">
        <f>SUM(F160,F162)</f>
        <v>0</v>
      </c>
      <c r="G159" s="16">
        <f t="shared" ref="G159:I159" si="38">SUM(G160,G162)</f>
        <v>0</v>
      </c>
      <c r="H159" s="16">
        <f t="shared" si="38"/>
        <v>0</v>
      </c>
      <c r="I159" s="16">
        <f t="shared" si="38"/>
        <v>0</v>
      </c>
      <c r="K159" s="31"/>
      <c r="L159" s="31"/>
      <c r="M159" s="32"/>
      <c r="N159" s="32"/>
      <c r="O159" s="32"/>
    </row>
    <row r="160" spans="2:15" ht="45" x14ac:dyDescent="0.25">
      <c r="B160" s="14" t="s">
        <v>112</v>
      </c>
      <c r="C160" s="127" t="s">
        <v>113</v>
      </c>
      <c r="D160" s="123">
        <v>406</v>
      </c>
      <c r="E160" s="285"/>
      <c r="F160" s="16">
        <f>SUM(F161)</f>
        <v>0</v>
      </c>
      <c r="G160" s="16">
        <f t="shared" ref="G160:I160" si="39">SUM(G161)</f>
        <v>0</v>
      </c>
      <c r="H160" s="16">
        <f t="shared" si="39"/>
        <v>0</v>
      </c>
      <c r="I160" s="16">
        <f t="shared" si="39"/>
        <v>0</v>
      </c>
      <c r="K160" s="31"/>
      <c r="L160" s="31"/>
      <c r="M160" s="32"/>
      <c r="N160" s="32"/>
      <c r="O160" s="32"/>
    </row>
    <row r="161" spans="1:45" ht="45" customHeight="1" x14ac:dyDescent="0.25">
      <c r="B161" s="14" t="s">
        <v>256</v>
      </c>
      <c r="C161" s="127"/>
      <c r="D161" s="123"/>
      <c r="E161" s="285"/>
      <c r="F161" s="16"/>
      <c r="G161" s="16"/>
      <c r="H161" s="16"/>
      <c r="I161" s="16"/>
      <c r="K161" s="31"/>
      <c r="L161" s="31"/>
      <c r="M161" s="32"/>
      <c r="N161" s="32"/>
      <c r="O161" s="32"/>
    </row>
    <row r="162" spans="1:45" ht="45" x14ac:dyDescent="0.25">
      <c r="B162" s="14" t="s">
        <v>114</v>
      </c>
      <c r="C162" s="127" t="s">
        <v>115</v>
      </c>
      <c r="D162" s="123">
        <v>407</v>
      </c>
      <c r="E162" s="285"/>
      <c r="F162" s="16">
        <f>SUM(F163)</f>
        <v>0</v>
      </c>
      <c r="G162" s="16">
        <f t="shared" ref="G162:I162" si="40">SUM(G163)</f>
        <v>0</v>
      </c>
      <c r="H162" s="16">
        <f t="shared" si="40"/>
        <v>0</v>
      </c>
      <c r="I162" s="16">
        <f t="shared" si="40"/>
        <v>0</v>
      </c>
      <c r="K162" s="31"/>
      <c r="L162" s="31"/>
      <c r="M162" s="32"/>
      <c r="N162" s="32"/>
      <c r="O162" s="32"/>
    </row>
    <row r="163" spans="1:45" ht="45" customHeight="1" x14ac:dyDescent="0.25">
      <c r="B163" s="14" t="s">
        <v>256</v>
      </c>
      <c r="C163" s="127"/>
      <c r="D163" s="123"/>
      <c r="E163" s="285"/>
      <c r="F163" s="16"/>
      <c r="G163" s="16"/>
      <c r="H163" s="16"/>
      <c r="I163" s="33"/>
      <c r="K163" s="31"/>
      <c r="L163" s="31"/>
      <c r="M163" s="32"/>
      <c r="N163" s="32"/>
      <c r="O163" s="32"/>
    </row>
    <row r="164" spans="1:45" s="1" customFormat="1" ht="17.25" customHeight="1" x14ac:dyDescent="0.25">
      <c r="B164" s="14" t="s">
        <v>753</v>
      </c>
      <c r="C164" s="127" t="s">
        <v>754</v>
      </c>
      <c r="D164" s="123">
        <v>247</v>
      </c>
      <c r="E164" s="303"/>
      <c r="F164" s="16">
        <f>SUM(F165:F167)</f>
        <v>635689.80999999994</v>
      </c>
      <c r="G164" s="16">
        <f t="shared" ref="G164:I164" si="41">SUM(G165:G167)</f>
        <v>637884.71</v>
      </c>
      <c r="H164" s="16">
        <f t="shared" si="41"/>
        <v>637884.71</v>
      </c>
      <c r="I164" s="16">
        <f t="shared" si="41"/>
        <v>0</v>
      </c>
      <c r="J164" s="305"/>
      <c r="K164" s="306"/>
      <c r="L164" s="306"/>
      <c r="M164" s="3"/>
      <c r="V164" s="125"/>
      <c r="W164" s="125"/>
      <c r="X164" s="125"/>
      <c r="Y164" s="125"/>
      <c r="Z164" s="125"/>
      <c r="AA164" s="125"/>
      <c r="AB164" s="125"/>
      <c r="AC164" s="125"/>
      <c r="AD164" s="125"/>
      <c r="AE164" s="125"/>
      <c r="AF164" s="125"/>
      <c r="AG164" s="125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</row>
    <row r="165" spans="1:45" s="1" customFormat="1" ht="45" customHeight="1" x14ac:dyDescent="0.25">
      <c r="B165" s="14" t="s">
        <v>195</v>
      </c>
      <c r="C165" s="127" t="s">
        <v>755</v>
      </c>
      <c r="D165" s="123">
        <v>247</v>
      </c>
      <c r="E165" s="303"/>
      <c r="F165" s="16">
        <f>'Утверждено (МЗ,ОП,ИЦ,КАП)'!I18+'Утверждено (МЗ,ОП,ИЦ,КАП)'!I19</f>
        <v>547028.80999999994</v>
      </c>
      <c r="G165" s="16">
        <f>'Утверждено (МЗ,ОП,ИЦ,КАП)'!J18+'Утверждено (МЗ,ОП,ИЦ,КАП)'!J19</f>
        <v>603816.71</v>
      </c>
      <c r="H165" s="16">
        <f>'Утверждено (МЗ,ОП,ИЦ,КАП)'!K18+'Утверждено (МЗ,ОП,ИЦ,КАП)'!K19</f>
        <v>603816.71</v>
      </c>
      <c r="I165" s="304">
        <v>0</v>
      </c>
      <c r="J165" s="305"/>
      <c r="K165" s="306">
        <v>4</v>
      </c>
      <c r="L165" s="306"/>
      <c r="M165" s="3"/>
      <c r="V165" s="125"/>
      <c r="W165" s="125"/>
      <c r="X165" s="125"/>
      <c r="Y165" s="125"/>
      <c r="Z165" s="125"/>
      <c r="AA165" s="125"/>
      <c r="AB165" s="125"/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</row>
    <row r="166" spans="1:45" s="1" customFormat="1" ht="45" customHeight="1" x14ac:dyDescent="0.25">
      <c r="B166" s="14" t="s">
        <v>199</v>
      </c>
      <c r="C166" s="127" t="s">
        <v>756</v>
      </c>
      <c r="D166" s="123">
        <v>247</v>
      </c>
      <c r="E166" s="303"/>
      <c r="F166" s="16">
        <f>'Утверждено (ПДД)'!D59+'Утверждено (ПДД)'!D60</f>
        <v>88661</v>
      </c>
      <c r="G166" s="16">
        <f>'Утверждено (ПДД)'!E59+'Утверждено (ПДД)'!E60</f>
        <v>34068</v>
      </c>
      <c r="H166" s="16">
        <f>'Утверждено (ПДД)'!F59+'Утверждено (ПДД)'!F60</f>
        <v>34068</v>
      </c>
      <c r="I166" s="304">
        <v>0</v>
      </c>
      <c r="J166" s="305"/>
      <c r="K166" s="306">
        <v>2</v>
      </c>
      <c r="L166" s="306"/>
      <c r="M166" s="3"/>
      <c r="V166" s="125"/>
      <c r="W166" s="125"/>
      <c r="X166" s="125"/>
      <c r="Y166" s="125"/>
      <c r="Z166" s="125"/>
      <c r="AA166" s="125"/>
      <c r="AB166" s="125"/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</row>
    <row r="167" spans="1:45" s="1" customFormat="1" ht="15.75" customHeight="1" x14ac:dyDescent="0.25">
      <c r="B167" s="14" t="s">
        <v>201</v>
      </c>
      <c r="C167" s="127" t="s">
        <v>757</v>
      </c>
      <c r="D167" s="123">
        <v>247</v>
      </c>
      <c r="E167" s="303"/>
      <c r="F167" s="16"/>
      <c r="G167" s="16"/>
      <c r="H167" s="16"/>
      <c r="I167" s="33"/>
      <c r="J167" s="305"/>
      <c r="K167" s="306">
        <v>5</v>
      </c>
      <c r="L167" s="306"/>
      <c r="M167" s="3"/>
      <c r="V167" s="125"/>
      <c r="W167" s="125"/>
      <c r="X167" s="125"/>
      <c r="Y167" s="125"/>
      <c r="Z167" s="125"/>
      <c r="AA167" s="125"/>
      <c r="AB167" s="125"/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</row>
    <row r="168" spans="1:45" s="21" customFormat="1" ht="14.25" x14ac:dyDescent="0.2">
      <c r="A168" s="17"/>
      <c r="B168" s="18" t="s">
        <v>116</v>
      </c>
      <c r="C168" s="128" t="s">
        <v>117</v>
      </c>
      <c r="D168" s="149">
        <v>100</v>
      </c>
      <c r="E168" s="19"/>
      <c r="F168" s="20">
        <f>SUM(F169:F171)</f>
        <v>-82197</v>
      </c>
      <c r="G168" s="20">
        <f t="shared" ref="G168:H168" si="42">SUM(G169:G171)</f>
        <v>-65997</v>
      </c>
      <c r="H168" s="20">
        <f t="shared" si="42"/>
        <v>-65997</v>
      </c>
      <c r="I168" s="38" t="s">
        <v>26</v>
      </c>
      <c r="J168" s="121"/>
      <c r="K168" s="34"/>
      <c r="L168" s="34"/>
      <c r="M168" s="7"/>
      <c r="N168" s="7"/>
      <c r="O168" s="7"/>
      <c r="V168" s="192"/>
      <c r="W168" s="192"/>
      <c r="X168" s="192"/>
      <c r="Y168" s="192"/>
      <c r="Z168" s="192"/>
      <c r="AA168" s="192"/>
      <c r="AB168" s="192"/>
      <c r="AC168" s="192"/>
      <c r="AD168" s="192"/>
      <c r="AE168" s="192"/>
      <c r="AF168" s="192"/>
      <c r="AG168" s="192"/>
      <c r="AH168" s="192"/>
      <c r="AI168" s="192"/>
      <c r="AJ168" s="192"/>
      <c r="AK168" s="192"/>
      <c r="AL168" s="192"/>
      <c r="AM168" s="192"/>
      <c r="AN168" s="192"/>
      <c r="AO168" s="192"/>
      <c r="AP168" s="192"/>
      <c r="AQ168" s="192"/>
      <c r="AR168" s="192"/>
      <c r="AS168" s="192"/>
    </row>
    <row r="169" spans="1:45" ht="30" x14ac:dyDescent="0.25">
      <c r="B169" s="14" t="s">
        <v>118</v>
      </c>
      <c r="C169" s="127" t="s">
        <v>119</v>
      </c>
      <c r="D169" s="123">
        <v>189</v>
      </c>
      <c r="E169" s="285"/>
      <c r="F169" s="16">
        <f>'Утверждено (ПДД)'!D29</f>
        <v>0</v>
      </c>
      <c r="G169" s="16">
        <f>'Утверждено (ПДД)'!E29</f>
        <v>0</v>
      </c>
      <c r="H169" s="16">
        <f>'Утверждено (ПДД)'!F29</f>
        <v>0</v>
      </c>
      <c r="I169" s="33" t="s">
        <v>26</v>
      </c>
      <c r="K169" s="124">
        <v>2</v>
      </c>
      <c r="L169" s="124"/>
      <c r="M169" s="215" t="s">
        <v>257</v>
      </c>
      <c r="N169" s="32"/>
      <c r="O169" s="32"/>
    </row>
    <row r="170" spans="1:45" x14ac:dyDescent="0.25">
      <c r="B170" s="14" t="s">
        <v>120</v>
      </c>
      <c r="C170" s="127" t="s">
        <v>121</v>
      </c>
      <c r="D170" s="123">
        <v>189</v>
      </c>
      <c r="E170" s="285"/>
      <c r="F170" s="16">
        <f>'Утверждено (ПДД)'!D40</f>
        <v>-82197</v>
      </c>
      <c r="G170" s="16">
        <f>'Утверждено (ПДД)'!E40</f>
        <v>-65997</v>
      </c>
      <c r="H170" s="16">
        <f>'Утверждено (ПДД)'!F40</f>
        <v>-65997</v>
      </c>
      <c r="I170" s="33" t="s">
        <v>26</v>
      </c>
      <c r="K170" s="124">
        <v>2</v>
      </c>
      <c r="L170" s="124"/>
      <c r="M170" s="215" t="s">
        <v>257</v>
      </c>
      <c r="N170" s="32"/>
      <c r="O170" s="32"/>
    </row>
    <row r="171" spans="1:45" x14ac:dyDescent="0.25">
      <c r="B171" s="14" t="s">
        <v>122</v>
      </c>
      <c r="C171" s="127" t="s">
        <v>123</v>
      </c>
      <c r="D171" s="123"/>
      <c r="E171" s="285"/>
      <c r="F171" s="16"/>
      <c r="G171" s="16"/>
      <c r="H171" s="16"/>
      <c r="I171" s="33" t="s">
        <v>26</v>
      </c>
      <c r="K171" s="31"/>
      <c r="L171" s="31"/>
      <c r="M171" s="32"/>
      <c r="N171" s="32"/>
      <c r="O171" s="32"/>
    </row>
    <row r="172" spans="1:45" s="21" customFormat="1" x14ac:dyDescent="0.25">
      <c r="A172" s="17"/>
      <c r="B172" s="18" t="s">
        <v>124</v>
      </c>
      <c r="C172" s="128" t="s">
        <v>125</v>
      </c>
      <c r="D172" s="149" t="s">
        <v>26</v>
      </c>
      <c r="E172" s="19"/>
      <c r="F172" s="20"/>
      <c r="G172" s="20"/>
      <c r="H172" s="20"/>
      <c r="I172" s="38" t="s">
        <v>26</v>
      </c>
      <c r="J172" s="121"/>
      <c r="K172" s="31" t="s">
        <v>192</v>
      </c>
      <c r="L172" s="31"/>
      <c r="M172" s="32" t="s">
        <v>258</v>
      </c>
      <c r="N172" s="7"/>
      <c r="O172" s="7"/>
      <c r="V172" s="192"/>
      <c r="W172" s="192"/>
      <c r="X172" s="192"/>
      <c r="Y172" s="192"/>
      <c r="Z172" s="192"/>
      <c r="AA172" s="192"/>
      <c r="AB172" s="192"/>
      <c r="AC172" s="192"/>
      <c r="AD172" s="192"/>
      <c r="AE172" s="192"/>
      <c r="AF172" s="192"/>
      <c r="AG172" s="192"/>
      <c r="AH172" s="192"/>
      <c r="AI172" s="192"/>
      <c r="AJ172" s="192"/>
      <c r="AK172" s="192"/>
      <c r="AL172" s="192"/>
      <c r="AM172" s="192"/>
      <c r="AN172" s="192"/>
      <c r="AO172" s="192"/>
      <c r="AP172" s="192"/>
      <c r="AQ172" s="192"/>
      <c r="AR172" s="192"/>
      <c r="AS172" s="192"/>
    </row>
    <row r="173" spans="1:45" ht="30" x14ac:dyDescent="0.25">
      <c r="B173" s="14" t="s">
        <v>126</v>
      </c>
      <c r="C173" s="127" t="s">
        <v>127</v>
      </c>
      <c r="D173" s="123">
        <v>610</v>
      </c>
      <c r="E173" s="285">
        <v>610</v>
      </c>
      <c r="F173" s="16"/>
      <c r="G173" s="16"/>
      <c r="H173" s="16"/>
      <c r="I173" s="33" t="s">
        <v>26</v>
      </c>
      <c r="K173" s="31" t="s">
        <v>192</v>
      </c>
      <c r="L173" s="31"/>
      <c r="M173" s="32" t="s">
        <v>259</v>
      </c>
      <c r="N173" s="32"/>
      <c r="O173" s="32"/>
    </row>
    <row r="174" spans="1:45" ht="8.25" customHeight="1" x14ac:dyDescent="0.25">
      <c r="K174" s="31"/>
      <c r="L174" s="31"/>
      <c r="M174" s="32"/>
      <c r="N174" s="32"/>
      <c r="O174" s="32"/>
    </row>
    <row r="175" spans="1:45" ht="4.5" customHeight="1" x14ac:dyDescent="0.25">
      <c r="K175" s="31"/>
      <c r="L175" s="31"/>
      <c r="M175" s="32"/>
      <c r="N175" s="32"/>
      <c r="O175" s="32"/>
    </row>
    <row r="176" spans="1:45" x14ac:dyDescent="0.25">
      <c r="B176" s="376" t="s">
        <v>128</v>
      </c>
      <c r="C176" s="376"/>
      <c r="D176" s="376"/>
      <c r="E176" s="376"/>
      <c r="F176" s="376"/>
      <c r="G176" s="376"/>
      <c r="H176" s="376"/>
      <c r="I176" s="376"/>
      <c r="K176" s="31"/>
      <c r="L176" s="31"/>
      <c r="M176" s="32"/>
      <c r="N176" s="32"/>
      <c r="O176" s="32"/>
    </row>
    <row r="177" spans="1:15" x14ac:dyDescent="0.25">
      <c r="K177" s="31"/>
      <c r="L177" s="31"/>
      <c r="M177" s="32"/>
      <c r="N177" s="32"/>
      <c r="O177" s="32"/>
    </row>
    <row r="178" spans="1:15" ht="30" customHeight="1" x14ac:dyDescent="0.25">
      <c r="A178" s="366" t="s">
        <v>129</v>
      </c>
      <c r="B178" s="271" t="s">
        <v>18</v>
      </c>
      <c r="C178" s="371" t="s">
        <v>130</v>
      </c>
      <c r="D178" s="366" t="s">
        <v>131</v>
      </c>
      <c r="E178" s="367" t="s">
        <v>20</v>
      </c>
      <c r="F178" s="369" t="s">
        <v>22</v>
      </c>
      <c r="G178" s="369"/>
      <c r="H178" s="369"/>
      <c r="I178" s="369"/>
      <c r="K178" s="31"/>
      <c r="L178" s="31"/>
      <c r="M178" s="32"/>
      <c r="N178" s="32"/>
      <c r="O178" s="32"/>
    </row>
    <row r="179" spans="1:15" ht="61.5" customHeight="1" x14ac:dyDescent="0.25">
      <c r="A179" s="366"/>
      <c r="B179" s="272"/>
      <c r="C179" s="372"/>
      <c r="D179" s="366"/>
      <c r="E179" s="368"/>
      <c r="F179" s="284" t="str">
        <f>F56</f>
        <v>на 2021 г. текущий финансовый год</v>
      </c>
      <c r="G179" s="284" t="str">
        <f t="shared" ref="G179:H179" si="43">G56</f>
        <v>на 2022 г. первый год планового периода</v>
      </c>
      <c r="H179" s="284" t="str">
        <f t="shared" si="43"/>
        <v>на 2023 г. второй год планового периода</v>
      </c>
      <c r="I179" s="284" t="s">
        <v>23</v>
      </c>
      <c r="K179" s="31"/>
      <c r="L179" s="31"/>
      <c r="M179" s="32"/>
      <c r="N179" s="32"/>
      <c r="O179" s="32"/>
    </row>
    <row r="180" spans="1:15" x14ac:dyDescent="0.25">
      <c r="A180" s="285">
        <v>1</v>
      </c>
      <c r="B180" s="274">
        <v>2</v>
      </c>
      <c r="C180" s="123">
        <v>3</v>
      </c>
      <c r="D180" s="285">
        <v>4</v>
      </c>
      <c r="E180" s="225" t="s">
        <v>701</v>
      </c>
      <c r="F180" s="285">
        <v>5</v>
      </c>
      <c r="G180" s="285">
        <v>6</v>
      </c>
      <c r="H180" s="285">
        <v>7</v>
      </c>
      <c r="I180" s="285">
        <v>8</v>
      </c>
      <c r="K180" s="31"/>
      <c r="L180" s="31"/>
      <c r="M180" s="32"/>
      <c r="N180" s="32"/>
      <c r="O180" s="32"/>
    </row>
    <row r="181" spans="1:15" x14ac:dyDescent="0.25">
      <c r="A181" s="285" t="s">
        <v>132</v>
      </c>
      <c r="B181" s="273" t="s">
        <v>133</v>
      </c>
      <c r="C181" s="123">
        <v>26000</v>
      </c>
      <c r="D181" s="285" t="s">
        <v>26</v>
      </c>
      <c r="E181" s="285" t="s">
        <v>26</v>
      </c>
      <c r="F181" s="16">
        <f>F138</f>
        <v>6136050.1199999992</v>
      </c>
      <c r="G181" s="16">
        <f>G138</f>
        <v>5122412.2699999996</v>
      </c>
      <c r="H181" s="16">
        <f t="shared" ref="H181:I181" si="44">H138</f>
        <v>5122412.2699999996</v>
      </c>
      <c r="I181" s="16">
        <f t="shared" si="44"/>
        <v>0</v>
      </c>
      <c r="K181" s="31"/>
      <c r="L181" s="31"/>
      <c r="M181" s="32"/>
      <c r="N181" s="32"/>
      <c r="O181" s="32"/>
    </row>
    <row r="182" spans="1:15" ht="167.25" customHeight="1" x14ac:dyDescent="0.25">
      <c r="A182" s="285" t="s">
        <v>134</v>
      </c>
      <c r="B182" s="273" t="s">
        <v>709</v>
      </c>
      <c r="C182" s="123">
        <v>26100</v>
      </c>
      <c r="D182" s="285" t="s">
        <v>26</v>
      </c>
      <c r="E182" s="285" t="s">
        <v>26</v>
      </c>
      <c r="F182" s="16"/>
      <c r="G182" s="16"/>
      <c r="H182" s="16"/>
      <c r="I182" s="16"/>
      <c r="K182" s="31" t="s">
        <v>192</v>
      </c>
      <c r="L182" s="31"/>
      <c r="M182" s="32" t="s">
        <v>260</v>
      </c>
      <c r="N182" s="32"/>
      <c r="O182" s="32"/>
    </row>
    <row r="183" spans="1:15" ht="62.25" customHeight="1" x14ac:dyDescent="0.35">
      <c r="A183" s="285" t="s">
        <v>135</v>
      </c>
      <c r="B183" s="273" t="s">
        <v>710</v>
      </c>
      <c r="C183" s="123">
        <v>26200</v>
      </c>
      <c r="D183" s="285" t="s">
        <v>26</v>
      </c>
      <c r="E183" s="285" t="s">
        <v>26</v>
      </c>
      <c r="F183" s="16">
        <f>информ.!I12</f>
        <v>3671200</v>
      </c>
      <c r="G183" s="16">
        <f>информ.!I25</f>
        <v>3260048</v>
      </c>
      <c r="H183" s="16">
        <f>G183</f>
        <v>3260048</v>
      </c>
      <c r="I183" s="16"/>
      <c r="K183" s="135" t="s">
        <v>192</v>
      </c>
      <c r="L183" s="31"/>
      <c r="M183" s="32" t="s">
        <v>261</v>
      </c>
      <c r="N183" s="216" t="s">
        <v>609</v>
      </c>
      <c r="O183" s="216" t="s">
        <v>600</v>
      </c>
    </row>
    <row r="184" spans="1:15" ht="60" customHeight="1" x14ac:dyDescent="0.25">
      <c r="A184" s="285" t="s">
        <v>136</v>
      </c>
      <c r="B184" s="273" t="s">
        <v>711</v>
      </c>
      <c r="C184" s="123">
        <v>26300</v>
      </c>
      <c r="D184" s="285" t="s">
        <v>26</v>
      </c>
      <c r="E184" s="285" t="s">
        <v>26</v>
      </c>
      <c r="F184" s="16">
        <f>SUM(F185:F187)</f>
        <v>808157.84</v>
      </c>
      <c r="G184" s="16">
        <f t="shared" ref="G184:I184" si="45">SUM(G185:G187)</f>
        <v>0</v>
      </c>
      <c r="H184" s="16">
        <f t="shared" si="45"/>
        <v>0</v>
      </c>
      <c r="I184" s="16">
        <f t="shared" si="45"/>
        <v>0</v>
      </c>
      <c r="K184" s="31" t="s">
        <v>192</v>
      </c>
      <c r="L184" s="227">
        <f>F181-F183</f>
        <v>2464850.1199999992</v>
      </c>
      <c r="M184" s="215" t="s">
        <v>260</v>
      </c>
      <c r="N184" s="32"/>
      <c r="O184" s="32"/>
    </row>
    <row r="185" spans="1:15" ht="29.25" customHeight="1" x14ac:dyDescent="0.35">
      <c r="A185" s="225" t="s">
        <v>702</v>
      </c>
      <c r="B185" s="273" t="s">
        <v>137</v>
      </c>
      <c r="C185" s="285">
        <v>26310</v>
      </c>
      <c r="D185" s="285"/>
      <c r="E185" s="285" t="s">
        <v>26</v>
      </c>
      <c r="F185" s="16">
        <f>информ.!I11</f>
        <v>808157.84</v>
      </c>
      <c r="G185" s="16">
        <f>информ.!I24</f>
        <v>0</v>
      </c>
      <c r="H185" s="16"/>
      <c r="I185" s="16"/>
      <c r="K185" s="135" t="s">
        <v>192</v>
      </c>
      <c r="L185" s="227">
        <f>F184+F188</f>
        <v>2464850.1199999996</v>
      </c>
      <c r="M185" s="32"/>
      <c r="N185" s="216" t="s">
        <v>610</v>
      </c>
      <c r="O185" s="32"/>
    </row>
    <row r="186" spans="1:15" ht="18" customHeight="1" x14ac:dyDescent="0.35">
      <c r="A186" s="287"/>
      <c r="B186" s="288" t="s">
        <v>703</v>
      </c>
      <c r="C186" s="285" t="s">
        <v>704</v>
      </c>
      <c r="D186" s="285"/>
      <c r="E186" s="285"/>
      <c r="F186" s="16"/>
      <c r="G186" s="16"/>
      <c r="H186" s="16"/>
      <c r="I186" s="16"/>
      <c r="K186" s="135"/>
      <c r="L186" s="227"/>
      <c r="M186" s="269"/>
      <c r="N186" s="216"/>
      <c r="O186" s="269"/>
    </row>
    <row r="187" spans="1:15" ht="16.5" customHeight="1" x14ac:dyDescent="0.25">
      <c r="A187" s="225" t="s">
        <v>705</v>
      </c>
      <c r="B187" s="273" t="s">
        <v>138</v>
      </c>
      <c r="C187" s="285">
        <v>26320</v>
      </c>
      <c r="D187" s="285"/>
      <c r="E187" s="285" t="s">
        <v>26</v>
      </c>
      <c r="F187" s="16"/>
      <c r="G187" s="16"/>
      <c r="H187" s="16"/>
      <c r="I187" s="16"/>
      <c r="K187" s="31" t="s">
        <v>192</v>
      </c>
      <c r="L187" s="31"/>
      <c r="M187" s="32"/>
      <c r="N187" s="32"/>
      <c r="O187" s="32"/>
    </row>
    <row r="188" spans="1:15" ht="77.25" customHeight="1" x14ac:dyDescent="0.25">
      <c r="A188" s="285" t="s">
        <v>139</v>
      </c>
      <c r="B188" s="273" t="s">
        <v>712</v>
      </c>
      <c r="C188" s="123">
        <v>26400</v>
      </c>
      <c r="D188" s="285" t="s">
        <v>26</v>
      </c>
      <c r="E188" s="285" t="s">
        <v>26</v>
      </c>
      <c r="F188" s="16">
        <f>SUM(F189,F192,F196,F198)</f>
        <v>1656692.2799999996</v>
      </c>
      <c r="G188" s="16">
        <f>SUM(G189,G192,G196,G198)</f>
        <v>1862364.27</v>
      </c>
      <c r="H188" s="16">
        <f>SUM(H189,H192,H196,H198)</f>
        <v>1862364.27</v>
      </c>
      <c r="I188" s="16">
        <f t="shared" ref="I188" si="46">SUM(I189,I192,I196,I198)</f>
        <v>0</v>
      </c>
      <c r="K188" s="31" t="s">
        <v>192</v>
      </c>
      <c r="L188" s="31"/>
      <c r="M188" s="32" t="s">
        <v>261</v>
      </c>
      <c r="N188" s="32"/>
      <c r="O188" s="32"/>
    </row>
    <row r="189" spans="1:15" ht="45.75" customHeight="1" x14ac:dyDescent="0.25">
      <c r="A189" s="285" t="s">
        <v>140</v>
      </c>
      <c r="B189" s="273" t="s">
        <v>713</v>
      </c>
      <c r="C189" s="123">
        <v>26410</v>
      </c>
      <c r="D189" s="285" t="s">
        <v>26</v>
      </c>
      <c r="E189" s="285" t="s">
        <v>26</v>
      </c>
      <c r="F189" s="16">
        <f>SUM(F190:F191)</f>
        <v>206674.4800000001</v>
      </c>
      <c r="G189" s="16">
        <f t="shared" ref="G189:I189" si="47">SUM(G190:G191)</f>
        <v>854906.27</v>
      </c>
      <c r="H189" s="16">
        <f t="shared" si="47"/>
        <v>854906.27</v>
      </c>
      <c r="I189" s="16">
        <f t="shared" si="47"/>
        <v>0</v>
      </c>
      <c r="K189" s="135">
        <v>4</v>
      </c>
      <c r="L189" s="31"/>
      <c r="M189" s="32"/>
      <c r="N189" s="32"/>
      <c r="O189" s="32"/>
    </row>
    <row r="190" spans="1:15" ht="29.25" customHeight="1" x14ac:dyDescent="0.25">
      <c r="A190" s="285" t="s">
        <v>141</v>
      </c>
      <c r="B190" s="273" t="s">
        <v>137</v>
      </c>
      <c r="C190" s="123">
        <v>26411</v>
      </c>
      <c r="D190" s="285" t="s">
        <v>26</v>
      </c>
      <c r="E190" s="285" t="s">
        <v>26</v>
      </c>
      <c r="F190" s="16">
        <f>Форма!F147+F165-информ.!B11-информ.!C11-информ.!D11-информ.!E11-информ.!F11-информ.!B12</f>
        <v>206674.4800000001</v>
      </c>
      <c r="G190" s="16">
        <f>Форма!G147+G165-информ.!B25</f>
        <v>854906.27</v>
      </c>
      <c r="H190" s="16">
        <f>Форма!H147+H165-информ.!B25</f>
        <v>854906.27</v>
      </c>
      <c r="I190" s="16"/>
      <c r="K190" s="31"/>
      <c r="L190" s="31"/>
      <c r="M190" s="32" t="s">
        <v>611</v>
      </c>
      <c r="N190" s="32"/>
      <c r="O190" s="32"/>
    </row>
    <row r="191" spans="1:15" ht="16.5" customHeight="1" x14ac:dyDescent="0.25">
      <c r="A191" s="285" t="s">
        <v>142</v>
      </c>
      <c r="B191" s="273" t="s">
        <v>138</v>
      </c>
      <c r="C191" s="123">
        <v>26412</v>
      </c>
      <c r="D191" s="285" t="s">
        <v>26</v>
      </c>
      <c r="E191" s="285" t="s">
        <v>26</v>
      </c>
      <c r="F191" s="16"/>
      <c r="G191" s="16"/>
      <c r="H191" s="16"/>
      <c r="I191" s="16"/>
      <c r="K191" s="31"/>
      <c r="L191" s="31"/>
      <c r="M191" s="298" t="s">
        <v>740</v>
      </c>
      <c r="N191" s="32"/>
      <c r="O191" s="32"/>
    </row>
    <row r="192" spans="1:15" ht="46.5" customHeight="1" x14ac:dyDescent="0.25">
      <c r="A192" s="285" t="s">
        <v>143</v>
      </c>
      <c r="B192" s="273" t="s">
        <v>714</v>
      </c>
      <c r="C192" s="123">
        <v>26420</v>
      </c>
      <c r="D192" s="285" t="s">
        <v>26</v>
      </c>
      <c r="E192" s="285" t="s">
        <v>26</v>
      </c>
      <c r="F192" s="16">
        <f>SUM(F193:F195)</f>
        <v>26230.32</v>
      </c>
      <c r="G192" s="16">
        <f t="shared" ref="G192:I192" si="48">SUM(G193:G195)</f>
        <v>0</v>
      </c>
      <c r="H192" s="16">
        <f t="shared" si="48"/>
        <v>0</v>
      </c>
      <c r="I192" s="16">
        <f t="shared" si="48"/>
        <v>0</v>
      </c>
      <c r="K192" s="135">
        <v>5</v>
      </c>
      <c r="L192" s="31"/>
      <c r="M192" s="32"/>
      <c r="N192" s="32"/>
      <c r="O192" s="32"/>
    </row>
    <row r="193" spans="1:45" ht="30.75" customHeight="1" x14ac:dyDescent="0.25">
      <c r="A193" s="285" t="s">
        <v>144</v>
      </c>
      <c r="B193" s="273" t="s">
        <v>137</v>
      </c>
      <c r="C193" s="123">
        <v>26421</v>
      </c>
      <c r="D193" s="285" t="s">
        <v>26</v>
      </c>
      <c r="E193" s="285" t="s">
        <v>26</v>
      </c>
      <c r="F193" s="16">
        <f>F155+F145-информ.!G11</f>
        <v>26230.32</v>
      </c>
      <c r="G193" s="16"/>
      <c r="H193" s="16"/>
      <c r="I193" s="16"/>
      <c r="K193" s="31"/>
      <c r="L193" s="31"/>
      <c r="M193" s="32"/>
      <c r="N193" s="32"/>
      <c r="O193" s="32"/>
    </row>
    <row r="194" spans="1:45" ht="17.25" customHeight="1" x14ac:dyDescent="0.25">
      <c r="A194" s="285"/>
      <c r="B194" s="288" t="s">
        <v>703</v>
      </c>
      <c r="C194" s="225" t="s">
        <v>706</v>
      </c>
      <c r="D194" s="285"/>
      <c r="E194" s="285"/>
      <c r="F194" s="16"/>
      <c r="G194" s="16"/>
      <c r="H194" s="16"/>
      <c r="I194" s="16"/>
      <c r="K194" s="31"/>
      <c r="L194" s="31"/>
      <c r="M194" s="269"/>
    </row>
    <row r="195" spans="1:45" ht="15" customHeight="1" x14ac:dyDescent="0.25">
      <c r="A195" s="285" t="s">
        <v>145</v>
      </c>
      <c r="B195" s="273" t="s">
        <v>138</v>
      </c>
      <c r="C195" s="123">
        <v>26422</v>
      </c>
      <c r="D195" s="285" t="s">
        <v>26</v>
      </c>
      <c r="E195" s="285" t="s">
        <v>26</v>
      </c>
      <c r="F195" s="16"/>
      <c r="G195" s="16"/>
      <c r="H195" s="16"/>
      <c r="I195" s="16"/>
      <c r="K195" s="31"/>
      <c r="L195" s="31"/>
      <c r="M195" s="32"/>
      <c r="N195" s="32"/>
      <c r="O195" s="32"/>
    </row>
    <row r="196" spans="1:45" ht="30" customHeight="1" x14ac:dyDescent="0.25">
      <c r="A196" s="285" t="s">
        <v>146</v>
      </c>
      <c r="B196" s="273" t="s">
        <v>715</v>
      </c>
      <c r="C196" s="123">
        <v>26430</v>
      </c>
      <c r="D196" s="285" t="s">
        <v>26</v>
      </c>
      <c r="E196" s="285" t="s">
        <v>26</v>
      </c>
      <c r="F196" s="16"/>
      <c r="G196" s="16"/>
      <c r="H196" s="16"/>
      <c r="I196" s="16"/>
      <c r="K196" s="31">
        <v>6</v>
      </c>
      <c r="L196" s="31"/>
      <c r="M196" s="32" t="s">
        <v>262</v>
      </c>
      <c r="N196" s="32"/>
      <c r="O196" s="32"/>
    </row>
    <row r="197" spans="1:45" ht="19.5" customHeight="1" x14ac:dyDescent="0.25">
      <c r="A197" s="285"/>
      <c r="B197" s="288" t="s">
        <v>703</v>
      </c>
      <c r="C197" s="285" t="s">
        <v>707</v>
      </c>
      <c r="D197" s="285"/>
      <c r="E197" s="285"/>
      <c r="F197" s="16"/>
      <c r="G197" s="16"/>
      <c r="H197" s="16"/>
      <c r="I197" s="16"/>
      <c r="K197" s="31"/>
      <c r="L197" s="31"/>
      <c r="M197" s="269"/>
    </row>
    <row r="198" spans="1:45" ht="29.25" customHeight="1" x14ac:dyDescent="0.25">
      <c r="A198" s="285" t="s">
        <v>147</v>
      </c>
      <c r="B198" s="273" t="s">
        <v>148</v>
      </c>
      <c r="C198" s="123">
        <v>26450</v>
      </c>
      <c r="D198" s="285" t="s">
        <v>26</v>
      </c>
      <c r="E198" s="285" t="s">
        <v>26</v>
      </c>
      <c r="F198" s="16">
        <f>SUM(F199:F201)</f>
        <v>1423787.4799999995</v>
      </c>
      <c r="G198" s="16">
        <f t="shared" ref="G198:I198" si="49">SUM(G199:G201)</f>
        <v>1007458</v>
      </c>
      <c r="H198" s="16">
        <f t="shared" si="49"/>
        <v>1007458</v>
      </c>
      <c r="I198" s="16">
        <f t="shared" si="49"/>
        <v>0</v>
      </c>
      <c r="K198" s="135">
        <v>2</v>
      </c>
      <c r="L198" s="31"/>
      <c r="M198" s="32"/>
      <c r="N198" s="32"/>
      <c r="O198" s="32"/>
    </row>
    <row r="199" spans="1:45" ht="30.75" customHeight="1" x14ac:dyDescent="0.25">
      <c r="A199" s="285" t="s">
        <v>149</v>
      </c>
      <c r="B199" s="273" t="s">
        <v>137</v>
      </c>
      <c r="C199" s="123">
        <v>26451</v>
      </c>
      <c r="D199" s="285" t="s">
        <v>26</v>
      </c>
      <c r="E199" s="285" t="s">
        <v>26</v>
      </c>
      <c r="F199" s="16">
        <f>F151+F144+F166-информ.!H11-информ.!H12</f>
        <v>1423787.4799999995</v>
      </c>
      <c r="G199" s="16">
        <f>G151+G166-информ.!H25</f>
        <v>1007458</v>
      </c>
      <c r="H199" s="16">
        <f>H151+H166-информ.!H25</f>
        <v>1007458</v>
      </c>
      <c r="I199" s="16"/>
      <c r="K199" s="31"/>
      <c r="L199" s="31"/>
      <c r="M199" s="32" t="s">
        <v>741</v>
      </c>
      <c r="N199" s="32"/>
      <c r="O199" s="32"/>
    </row>
    <row r="200" spans="1:45" s="277" customFormat="1" ht="16.5" customHeight="1" x14ac:dyDescent="0.25">
      <c r="A200" s="285"/>
      <c r="B200" s="288" t="s">
        <v>703</v>
      </c>
      <c r="C200" s="285" t="s">
        <v>708</v>
      </c>
      <c r="D200" s="285"/>
      <c r="E200" s="285"/>
      <c r="F200" s="16"/>
      <c r="G200" s="16"/>
      <c r="H200" s="16"/>
      <c r="I200" s="16"/>
      <c r="J200" s="275"/>
      <c r="K200" s="276"/>
      <c r="L200" s="276"/>
      <c r="M200" s="298" t="s">
        <v>740</v>
      </c>
      <c r="V200" s="278"/>
      <c r="W200" s="278"/>
      <c r="X200" s="278"/>
      <c r="Y200" s="278"/>
      <c r="Z200" s="278"/>
      <c r="AA200" s="278"/>
      <c r="AB200" s="278"/>
      <c r="AC200" s="278"/>
      <c r="AD200" s="278"/>
      <c r="AE200" s="278"/>
      <c r="AF200" s="278"/>
      <c r="AG200" s="278"/>
      <c r="AH200" s="278"/>
      <c r="AI200" s="278"/>
      <c r="AJ200" s="278"/>
      <c r="AK200" s="278"/>
      <c r="AL200" s="278"/>
      <c r="AM200" s="278"/>
      <c r="AN200" s="278"/>
      <c r="AO200" s="278"/>
      <c r="AP200" s="278"/>
      <c r="AQ200" s="278"/>
      <c r="AR200" s="278"/>
      <c r="AS200" s="278"/>
    </row>
    <row r="201" spans="1:45" ht="15" customHeight="1" x14ac:dyDescent="0.25">
      <c r="A201" s="285" t="s">
        <v>150</v>
      </c>
      <c r="B201" s="273" t="s">
        <v>138</v>
      </c>
      <c r="C201" s="123">
        <v>26452</v>
      </c>
      <c r="D201" s="285" t="s">
        <v>26</v>
      </c>
      <c r="E201" s="285" t="s">
        <v>26</v>
      </c>
      <c r="F201" s="16"/>
      <c r="G201" s="16"/>
      <c r="H201" s="16"/>
      <c r="I201" s="16"/>
      <c r="K201" s="31"/>
      <c r="L201" s="31"/>
      <c r="M201" s="32"/>
      <c r="N201" s="32"/>
      <c r="O201" s="32"/>
    </row>
    <row r="202" spans="1:45" ht="59.25" customHeight="1" x14ac:dyDescent="0.25">
      <c r="A202" s="285" t="s">
        <v>151</v>
      </c>
      <c r="B202" s="273" t="s">
        <v>717</v>
      </c>
      <c r="C202" s="123">
        <v>26500</v>
      </c>
      <c r="D202" s="285" t="s">
        <v>26</v>
      </c>
      <c r="E202" s="285" t="s">
        <v>26</v>
      </c>
      <c r="F202" s="16">
        <f>F190+F193+F196+F199</f>
        <v>1656692.2799999996</v>
      </c>
      <c r="G202" s="16">
        <f>G190+G193+G196+G199</f>
        <v>1862364.27</v>
      </c>
      <c r="H202" s="16">
        <f>H190+H193+H196+H199</f>
        <v>1862364.27</v>
      </c>
      <c r="I202" s="16">
        <f t="shared" ref="I202" si="50">I190+I193+I196+I199</f>
        <v>0</v>
      </c>
      <c r="K202" s="31" t="s">
        <v>172</v>
      </c>
      <c r="L202" s="31"/>
      <c r="M202" s="32" t="s">
        <v>263</v>
      </c>
      <c r="N202" s="32"/>
      <c r="O202" s="32"/>
    </row>
    <row r="203" spans="1:45" ht="30" customHeight="1" x14ac:dyDescent="0.25">
      <c r="A203" s="15"/>
      <c r="B203" s="273" t="s">
        <v>264</v>
      </c>
      <c r="C203" s="123">
        <v>26510</v>
      </c>
      <c r="D203" s="307">
        <v>2021</v>
      </c>
      <c r="E203" s="285" t="s">
        <v>26</v>
      </c>
      <c r="F203" s="16">
        <f>F198+F189+F192</f>
        <v>1656692.2799999996</v>
      </c>
      <c r="G203" s="292">
        <f>информ.!I37</f>
        <v>4666</v>
      </c>
      <c r="H203" s="292"/>
      <c r="I203" s="16"/>
      <c r="J203" s="293">
        <f>информ.!I24-информ.!I16</f>
        <v>0</v>
      </c>
      <c r="K203" s="293">
        <f>G203-J203</f>
        <v>4666</v>
      </c>
      <c r="L203" s="293">
        <f>информ.!K37</f>
        <v>4666</v>
      </c>
      <c r="M203" s="32"/>
      <c r="N203" s="32"/>
      <c r="O203" s="32"/>
    </row>
    <row r="204" spans="1:45" x14ac:dyDescent="0.25">
      <c r="A204" s="15"/>
      <c r="B204" s="273" t="s">
        <v>265</v>
      </c>
      <c r="C204" s="123">
        <v>26520</v>
      </c>
      <c r="D204" s="307">
        <v>2022</v>
      </c>
      <c r="E204" s="285" t="s">
        <v>26</v>
      </c>
      <c r="F204" s="16"/>
      <c r="G204" s="292">
        <f>G202-G203</f>
        <v>1857698.27</v>
      </c>
      <c r="H204" s="292">
        <f>G203*1.05</f>
        <v>4899.3</v>
      </c>
      <c r="I204" s="16"/>
      <c r="J204" s="293">
        <f>G202-J203</f>
        <v>1862364.27</v>
      </c>
      <c r="K204" s="293">
        <f>G204-J204</f>
        <v>-4666</v>
      </c>
      <c r="L204" s="124"/>
      <c r="M204" s="32"/>
      <c r="N204" s="32"/>
      <c r="O204" s="32"/>
    </row>
    <row r="205" spans="1:45" x14ac:dyDescent="0.25">
      <c r="A205" s="15"/>
      <c r="B205" s="273" t="s">
        <v>266</v>
      </c>
      <c r="C205" s="123">
        <v>26530</v>
      </c>
      <c r="D205" s="285">
        <v>2023</v>
      </c>
      <c r="E205" s="285" t="s">
        <v>26</v>
      </c>
      <c r="F205" s="16"/>
      <c r="G205" s="292"/>
      <c r="H205" s="292">
        <f>H202-H204</f>
        <v>1857464.97</v>
      </c>
      <c r="I205" s="16"/>
      <c r="K205" s="31"/>
      <c r="L205" s="31"/>
      <c r="M205" s="32"/>
      <c r="N205" s="32"/>
      <c r="O205" s="32"/>
    </row>
    <row r="206" spans="1:45" ht="60.75" customHeight="1" x14ac:dyDescent="0.25">
      <c r="A206" s="285" t="s">
        <v>152</v>
      </c>
      <c r="B206" s="273" t="s">
        <v>716</v>
      </c>
      <c r="C206" s="123">
        <v>26600</v>
      </c>
      <c r="D206" s="285" t="s">
        <v>26</v>
      </c>
      <c r="E206" s="285" t="s">
        <v>26</v>
      </c>
      <c r="F206" s="16">
        <f>F191+F195+F201</f>
        <v>0</v>
      </c>
      <c r="G206" s="16">
        <f t="shared" ref="G206:I206" si="51">G191+G195+G201</f>
        <v>0</v>
      </c>
      <c r="H206" s="16">
        <f t="shared" si="51"/>
        <v>0</v>
      </c>
      <c r="I206" s="16">
        <f t="shared" si="51"/>
        <v>0</v>
      </c>
      <c r="K206" s="31" t="s">
        <v>192</v>
      </c>
      <c r="L206" s="31"/>
      <c r="M206" s="32" t="s">
        <v>263</v>
      </c>
      <c r="N206" s="32"/>
      <c r="O206" s="32"/>
    </row>
    <row r="207" spans="1:45" ht="30" customHeight="1" x14ac:dyDescent="0.25">
      <c r="A207" s="15"/>
      <c r="B207" s="273" t="s">
        <v>264</v>
      </c>
      <c r="C207" s="123">
        <v>26610</v>
      </c>
      <c r="D207" s="285">
        <f>D203</f>
        <v>2021</v>
      </c>
      <c r="E207" s="285" t="s">
        <v>26</v>
      </c>
      <c r="F207" s="16"/>
      <c r="G207" s="16"/>
      <c r="H207" s="16"/>
      <c r="I207" s="16"/>
      <c r="K207" s="31"/>
      <c r="L207" s="31"/>
      <c r="M207" s="32"/>
      <c r="N207" s="32"/>
      <c r="O207" s="32"/>
    </row>
    <row r="208" spans="1:45" x14ac:dyDescent="0.25">
      <c r="A208" s="15"/>
      <c r="B208" s="273" t="s">
        <v>265</v>
      </c>
      <c r="C208" s="123">
        <v>26620</v>
      </c>
      <c r="D208" s="285">
        <f>D204</f>
        <v>2022</v>
      </c>
      <c r="E208" s="285" t="s">
        <v>26</v>
      </c>
      <c r="F208" s="16"/>
      <c r="G208" s="16"/>
      <c r="H208" s="16"/>
      <c r="I208" s="16"/>
      <c r="K208" s="31"/>
      <c r="L208" s="31"/>
      <c r="M208" s="32"/>
      <c r="N208" s="32"/>
      <c r="O208" s="32"/>
    </row>
    <row r="209" spans="1:45" x14ac:dyDescent="0.25">
      <c r="A209" s="15"/>
      <c r="B209" s="273" t="s">
        <v>266</v>
      </c>
      <c r="C209" s="123">
        <v>26630</v>
      </c>
      <c r="D209" s="285">
        <f>D205</f>
        <v>2023</v>
      </c>
      <c r="E209" s="285" t="s">
        <v>26</v>
      </c>
      <c r="F209" s="16"/>
      <c r="G209" s="16"/>
      <c r="H209" s="16"/>
      <c r="I209" s="16"/>
      <c r="K209" s="31"/>
      <c r="L209" s="31"/>
      <c r="M209" s="32"/>
      <c r="N209" s="32"/>
      <c r="O209" s="32"/>
    </row>
    <row r="210" spans="1:45" ht="9" customHeight="1" x14ac:dyDescent="0.25">
      <c r="K210" s="31"/>
      <c r="L210" s="31"/>
      <c r="M210" s="32"/>
      <c r="N210" s="32"/>
      <c r="O210" s="32"/>
    </row>
    <row r="211" spans="1:45" ht="8.25" customHeight="1" x14ac:dyDescent="0.25">
      <c r="K211" s="31"/>
      <c r="L211" s="31"/>
      <c r="M211" s="32"/>
      <c r="N211" s="32"/>
      <c r="O211" s="32"/>
    </row>
    <row r="212" spans="1:45" s="1" customFormat="1" x14ac:dyDescent="0.25">
      <c r="B212" s="3" t="s">
        <v>153</v>
      </c>
      <c r="C212" s="364" t="s">
        <v>771</v>
      </c>
      <c r="D212" s="364"/>
      <c r="E212" s="365"/>
      <c r="F212" s="378" t="s">
        <v>486</v>
      </c>
      <c r="G212" s="378"/>
      <c r="J212" s="119"/>
      <c r="K212" s="31"/>
      <c r="L212" s="31"/>
      <c r="M212" s="32"/>
      <c r="N212" s="3"/>
      <c r="O212" s="3"/>
      <c r="V212" s="125"/>
      <c r="W212" s="125"/>
      <c r="X212" s="125"/>
      <c r="Y212" s="125"/>
      <c r="Z212" s="125"/>
      <c r="AA212" s="125"/>
      <c r="AB212" s="125"/>
      <c r="AC212" s="125"/>
      <c r="AD212" s="125"/>
      <c r="AE212" s="125"/>
      <c r="AF212" s="125"/>
      <c r="AG212" s="125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</row>
    <row r="213" spans="1:45" s="1" customFormat="1" x14ac:dyDescent="0.25">
      <c r="B213" s="3"/>
      <c r="C213" s="380" t="s">
        <v>154</v>
      </c>
      <c r="D213" s="380"/>
      <c r="E213" s="308" t="s">
        <v>155</v>
      </c>
      <c r="F213" s="380" t="s">
        <v>156</v>
      </c>
      <c r="G213" s="380"/>
      <c r="J213" s="119"/>
      <c r="K213" s="31"/>
      <c r="L213" s="31"/>
      <c r="M213" s="32"/>
      <c r="N213" s="3"/>
      <c r="O213" s="3"/>
      <c r="V213" s="125"/>
      <c r="W213" s="125"/>
      <c r="X213" s="125"/>
      <c r="Y213" s="125"/>
      <c r="Z213" s="125"/>
      <c r="AA213" s="125"/>
      <c r="AB213" s="125"/>
      <c r="AC213" s="125"/>
      <c r="AD213" s="125"/>
      <c r="AE213" s="125"/>
      <c r="AF213" s="125"/>
      <c r="AG213" s="125"/>
      <c r="AH213" s="125"/>
      <c r="AI213" s="125"/>
      <c r="AJ213" s="125"/>
      <c r="AK213" s="125"/>
      <c r="AL213" s="125"/>
      <c r="AM213" s="125"/>
      <c r="AN213" s="125"/>
      <c r="AO213" s="125"/>
      <c r="AP213" s="125"/>
      <c r="AQ213" s="125"/>
      <c r="AR213" s="125"/>
      <c r="AS213" s="125"/>
    </row>
    <row r="214" spans="1:45" x14ac:dyDescent="0.25">
      <c r="K214" s="31"/>
      <c r="L214" s="31"/>
      <c r="M214" s="32"/>
      <c r="N214" s="32"/>
      <c r="O214" s="32"/>
    </row>
    <row r="215" spans="1:45" s="1" customFormat="1" x14ac:dyDescent="0.25">
      <c r="B215" s="3" t="s">
        <v>157</v>
      </c>
      <c r="C215" s="378" t="s">
        <v>772</v>
      </c>
      <c r="D215" s="379"/>
      <c r="E215" s="378" t="s">
        <v>612</v>
      </c>
      <c r="F215" s="378"/>
      <c r="G215" s="283" t="s">
        <v>485</v>
      </c>
      <c r="J215" s="119"/>
      <c r="K215" s="31"/>
      <c r="L215" s="31"/>
      <c r="M215" s="32"/>
      <c r="N215" s="3"/>
      <c r="O215" s="3"/>
      <c r="V215" s="125"/>
      <c r="W215" s="125"/>
      <c r="X215" s="125"/>
      <c r="Y215" s="125"/>
      <c r="Z215" s="125"/>
      <c r="AA215" s="125"/>
      <c r="AB215" s="125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</row>
    <row r="216" spans="1:45" s="1" customFormat="1" x14ac:dyDescent="0.25">
      <c r="B216" s="3"/>
      <c r="C216" s="380" t="s">
        <v>158</v>
      </c>
      <c r="D216" s="380"/>
      <c r="E216" s="380" t="s">
        <v>159</v>
      </c>
      <c r="F216" s="380"/>
      <c r="G216" s="279" t="s">
        <v>160</v>
      </c>
      <c r="J216" s="119"/>
      <c r="K216" s="31"/>
      <c r="L216" s="31"/>
      <c r="M216" s="32"/>
      <c r="N216" s="3"/>
      <c r="O216" s="3"/>
      <c r="V216" s="125"/>
      <c r="W216" s="125"/>
      <c r="X216" s="125"/>
      <c r="Y216" s="125"/>
      <c r="Z216" s="125"/>
      <c r="AA216" s="125"/>
      <c r="AB216" s="125"/>
      <c r="AC216" s="125"/>
      <c r="AD216" s="125"/>
      <c r="AE216" s="125"/>
      <c r="AF216" s="125"/>
      <c r="AG216" s="125"/>
      <c r="AH216" s="125"/>
      <c r="AI216" s="125"/>
      <c r="AJ216" s="125"/>
      <c r="AK216" s="125"/>
      <c r="AL216" s="125"/>
      <c r="AM216" s="125"/>
      <c r="AN216" s="125"/>
      <c r="AO216" s="125"/>
      <c r="AP216" s="125"/>
      <c r="AQ216" s="125"/>
      <c r="AR216" s="125"/>
      <c r="AS216" s="125"/>
    </row>
    <row r="217" spans="1:45" x14ac:dyDescent="0.25">
      <c r="K217" s="31"/>
      <c r="L217" s="31"/>
      <c r="M217" s="32"/>
      <c r="N217" s="32"/>
      <c r="O217" s="32"/>
    </row>
    <row r="218" spans="1:45" s="1" customFormat="1" x14ac:dyDescent="0.25">
      <c r="B218" s="2" t="str">
        <f>'Титульный лист'!D32</f>
        <v>«  28  » мая 2021 г.</v>
      </c>
      <c r="C218" s="125"/>
      <c r="D218" s="125"/>
      <c r="J218" s="119"/>
      <c r="K218" s="31"/>
      <c r="L218" s="31"/>
      <c r="M218" s="32" t="s">
        <v>499</v>
      </c>
      <c r="N218" s="3"/>
      <c r="O218" s="3"/>
      <c r="V218" s="125"/>
      <c r="W218" s="125"/>
      <c r="X218" s="125"/>
      <c r="Y218" s="125"/>
      <c r="Z218" s="125"/>
      <c r="AA218" s="125"/>
      <c r="AB218" s="125"/>
      <c r="AC218" s="125"/>
      <c r="AD218" s="125"/>
      <c r="AE218" s="125"/>
      <c r="AF218" s="125"/>
      <c r="AG218" s="125"/>
      <c r="AH218" s="125"/>
      <c r="AI218" s="125"/>
      <c r="AJ218" s="125"/>
      <c r="AK218" s="125"/>
      <c r="AL218" s="125"/>
      <c r="AM218" s="125"/>
      <c r="AN218" s="125"/>
      <c r="AO218" s="125"/>
      <c r="AP218" s="125"/>
      <c r="AQ218" s="125"/>
      <c r="AR218" s="125"/>
      <c r="AS218" s="125"/>
    </row>
    <row r="219" spans="1:45" x14ac:dyDescent="0.25">
      <c r="K219" s="31"/>
      <c r="L219" s="31"/>
      <c r="M219" s="32"/>
      <c r="N219" s="32"/>
      <c r="O219" s="32"/>
    </row>
    <row r="221" spans="1:45" x14ac:dyDescent="0.25">
      <c r="B221" s="2" t="s">
        <v>267</v>
      </c>
      <c r="D221" s="125" t="s">
        <v>268</v>
      </c>
      <c r="F221" s="39">
        <f>F181-F184-F188-F182-F183</f>
        <v>0</v>
      </c>
      <c r="G221" s="39">
        <f t="shared" ref="G221:H221" si="52">G181-G184-G188-G182-G183</f>
        <v>0</v>
      </c>
      <c r="H221" s="39">
        <f t="shared" si="52"/>
        <v>0</v>
      </c>
      <c r="I221" s="39">
        <f t="shared" ref="I221" si="53">I181-I184-I188-I182-I183</f>
        <v>0</v>
      </c>
    </row>
    <row r="222" spans="1:45" x14ac:dyDescent="0.25">
      <c r="D222" s="150">
        <v>26500</v>
      </c>
      <c r="F222" s="39">
        <f>F202-F203-F204-F205</f>
        <v>0</v>
      </c>
      <c r="G222" s="39">
        <f>G202-G203-G204-G205</f>
        <v>0</v>
      </c>
      <c r="H222" s="39">
        <f t="shared" ref="H222:I222" si="54">H202-H203-H204-H205</f>
        <v>0</v>
      </c>
      <c r="I222" s="39">
        <f t="shared" si="54"/>
        <v>0</v>
      </c>
    </row>
    <row r="223" spans="1:45" x14ac:dyDescent="0.25">
      <c r="C223" s="1"/>
      <c r="D223" s="166">
        <v>26600</v>
      </c>
      <c r="F223" s="39">
        <f>F206-F207-F208-F209</f>
        <v>0</v>
      </c>
      <c r="G223" s="39">
        <f t="shared" ref="G223:I223" si="55">G206-G207-G208-G209</f>
        <v>0</v>
      </c>
      <c r="H223" s="39">
        <f t="shared" si="55"/>
        <v>0</v>
      </c>
      <c r="I223" s="39">
        <f t="shared" si="55"/>
        <v>0</v>
      </c>
      <c r="J223"/>
      <c r="K223" s="165"/>
      <c r="L223" s="165"/>
      <c r="M223" s="152"/>
    </row>
    <row r="224" spans="1:45" x14ac:dyDescent="0.25">
      <c r="C224" s="1"/>
      <c r="D224" s="167">
        <v>26000</v>
      </c>
      <c r="E224" s="168"/>
      <c r="F224" s="169">
        <f>F181-F182-F183-F184-F188</f>
        <v>0</v>
      </c>
      <c r="G224" s="169">
        <f t="shared" ref="G224:I224" si="56">G181-G182-G183-G184-G188</f>
        <v>0</v>
      </c>
      <c r="H224" s="169">
        <f t="shared" si="56"/>
        <v>0</v>
      </c>
      <c r="I224" s="169">
        <f t="shared" si="56"/>
        <v>0</v>
      </c>
      <c r="J224"/>
      <c r="K224" s="165"/>
      <c r="L224" s="165"/>
      <c r="M224" s="152"/>
    </row>
    <row r="226" spans="2:48" x14ac:dyDescent="0.25">
      <c r="D226" s="200">
        <f>F227-F58</f>
        <v>-82196.999999999884</v>
      </c>
    </row>
    <row r="227" spans="2:48" x14ac:dyDescent="0.25">
      <c r="B227" s="2" t="s">
        <v>498</v>
      </c>
      <c r="D227" s="125" t="s">
        <v>614</v>
      </c>
      <c r="F227" s="39">
        <f>F78-F60</f>
        <v>585976.41000000015</v>
      </c>
      <c r="G227" s="39">
        <f>G78-G60</f>
        <v>-65997</v>
      </c>
      <c r="H227" s="39">
        <f t="shared" ref="H227" si="57">H78-H60</f>
        <v>-65997</v>
      </c>
    </row>
    <row r="228" spans="2:48" x14ac:dyDescent="0.25">
      <c r="B228" s="472" t="s">
        <v>517</v>
      </c>
      <c r="C228" s="472"/>
      <c r="D228" s="472"/>
      <c r="E228" s="472"/>
      <c r="F228" s="472"/>
      <c r="G228" s="472"/>
      <c r="H228" s="472"/>
      <c r="I228" s="472"/>
      <c r="J228" s="472"/>
      <c r="K228" s="472"/>
      <c r="L228" s="472"/>
      <c r="M228" s="472"/>
      <c r="N228" s="472"/>
      <c r="O228" s="472"/>
      <c r="P228" s="472"/>
      <c r="Q228" s="472"/>
      <c r="R228" s="472"/>
      <c r="S228" s="472"/>
      <c r="T228" s="472"/>
      <c r="U228" s="472"/>
      <c r="V228" s="472"/>
      <c r="W228" s="472"/>
      <c r="X228" s="472"/>
      <c r="Y228" s="472"/>
      <c r="Z228" s="472"/>
      <c r="AA228" s="472"/>
      <c r="AB228" s="472"/>
      <c r="AC228" s="472"/>
      <c r="AD228" s="472"/>
      <c r="AE228" s="472"/>
      <c r="AF228" s="472"/>
      <c r="AG228" s="472"/>
      <c r="AH228" s="472"/>
      <c r="AI228" s="472"/>
      <c r="AJ228" s="472"/>
      <c r="AK228" s="472"/>
      <c r="AL228" s="472"/>
      <c r="AM228" s="472"/>
      <c r="AN228" s="472"/>
      <c r="AO228" s="472"/>
      <c r="AP228" s="472"/>
      <c r="AQ228" s="472"/>
      <c r="AR228" s="472"/>
      <c r="AS228" s="472"/>
      <c r="AT228" s="472"/>
    </row>
    <row r="229" spans="2:48" x14ac:dyDescent="0.25">
      <c r="B229" s="473" t="s">
        <v>518</v>
      </c>
      <c r="C229" s="473"/>
      <c r="D229" s="473"/>
      <c r="E229" s="473"/>
      <c r="F229" s="473"/>
      <c r="G229" s="473"/>
      <c r="H229" s="473"/>
      <c r="I229" s="473"/>
      <c r="J229" s="473"/>
      <c r="K229" s="473"/>
      <c r="L229" s="473"/>
      <c r="M229" s="473"/>
      <c r="N229" s="473"/>
      <c r="O229" s="473"/>
      <c r="P229" s="473"/>
      <c r="Q229" s="473"/>
      <c r="R229" s="473"/>
      <c r="S229" s="473"/>
      <c r="T229" s="473"/>
      <c r="U229" s="473"/>
      <c r="V229" s="473"/>
      <c r="W229" s="473"/>
      <c r="X229" s="473"/>
      <c r="Y229" s="473"/>
      <c r="Z229" s="473"/>
      <c r="AA229" s="473"/>
      <c r="AB229" s="473"/>
      <c r="AC229" s="473"/>
      <c r="AD229" s="473"/>
      <c r="AE229" s="473"/>
      <c r="AF229" s="473"/>
      <c r="AG229" s="473"/>
      <c r="AH229" s="473"/>
      <c r="AI229" s="473"/>
      <c r="AJ229" s="473"/>
      <c r="AK229" s="473"/>
      <c r="AL229" s="473"/>
      <c r="AM229" s="473"/>
      <c r="AN229" s="473"/>
      <c r="AO229" s="473"/>
      <c r="AP229" s="473"/>
      <c r="AQ229" s="473"/>
      <c r="AR229" s="473"/>
      <c r="AS229" s="473"/>
      <c r="AT229" s="473"/>
    </row>
    <row r="230" spans="2:48" x14ac:dyDescent="0.25">
      <c r="B230" s="474" t="s">
        <v>625</v>
      </c>
      <c r="C230" s="474"/>
      <c r="D230" s="474"/>
      <c r="E230" s="474"/>
      <c r="F230" s="474"/>
      <c r="G230" s="474"/>
      <c r="H230" s="474"/>
      <c r="I230" s="474"/>
      <c r="J230" s="474"/>
      <c r="K230" s="475" t="s">
        <v>19</v>
      </c>
      <c r="L230" s="475"/>
      <c r="M230" s="475"/>
      <c r="N230" s="475" t="s">
        <v>519</v>
      </c>
      <c r="O230" s="475"/>
      <c r="P230" s="475"/>
      <c r="Q230" s="476" t="s">
        <v>520</v>
      </c>
      <c r="R230" s="476"/>
      <c r="S230" s="476"/>
      <c r="T230" s="476"/>
      <c r="U230" s="476"/>
      <c r="V230" s="476"/>
      <c r="W230" s="476"/>
      <c r="X230" s="476"/>
      <c r="Y230" s="476"/>
      <c r="Z230" s="476"/>
      <c r="AA230" s="476"/>
      <c r="AB230" s="476"/>
      <c r="AC230" s="476"/>
      <c r="AD230" s="476"/>
      <c r="AE230" s="476"/>
      <c r="AF230" s="476"/>
      <c r="AG230" s="476"/>
      <c r="AH230" s="476"/>
      <c r="AI230" s="476"/>
      <c r="AJ230" s="476"/>
      <c r="AK230" s="476"/>
      <c r="AL230" s="476"/>
      <c r="AM230" s="476"/>
      <c r="AN230" s="476"/>
      <c r="AO230" s="476"/>
      <c r="AP230" s="476"/>
      <c r="AQ230" s="476"/>
      <c r="AR230" s="476"/>
      <c r="AS230" s="476"/>
      <c r="AT230" s="476"/>
    </row>
    <row r="231" spans="2:48" x14ac:dyDescent="0.25">
      <c r="B231" s="474"/>
      <c r="C231" s="474"/>
      <c r="D231" s="474"/>
      <c r="E231" s="474"/>
      <c r="F231" s="474"/>
      <c r="G231" s="474"/>
      <c r="H231" s="474"/>
      <c r="I231" s="474"/>
      <c r="J231" s="474"/>
      <c r="K231" s="475"/>
      <c r="L231" s="475"/>
      <c r="M231" s="475"/>
      <c r="N231" s="475"/>
      <c r="O231" s="475"/>
      <c r="P231" s="475"/>
      <c r="Q231" s="476" t="s">
        <v>521</v>
      </c>
      <c r="R231" s="476"/>
      <c r="S231" s="476"/>
      <c r="T231" s="476"/>
      <c r="U231" s="476"/>
      <c r="V231" s="476" t="s">
        <v>522</v>
      </c>
      <c r="W231" s="476"/>
      <c r="X231" s="476"/>
      <c r="Y231" s="476"/>
      <c r="Z231" s="476"/>
      <c r="AA231" s="476"/>
      <c r="AB231" s="476"/>
      <c r="AC231" s="476"/>
      <c r="AD231" s="476"/>
      <c r="AE231" s="476"/>
      <c r="AF231" s="476"/>
      <c r="AG231" s="476"/>
      <c r="AH231" s="476"/>
      <c r="AI231" s="476"/>
      <c r="AJ231" s="476"/>
      <c r="AK231" s="476"/>
      <c r="AL231" s="476"/>
      <c r="AM231" s="476"/>
      <c r="AN231" s="476"/>
      <c r="AO231" s="476"/>
      <c r="AP231" s="476"/>
      <c r="AQ231" s="476"/>
      <c r="AR231" s="476"/>
      <c r="AS231" s="476"/>
      <c r="AT231" s="476"/>
    </row>
    <row r="232" spans="2:48" x14ac:dyDescent="0.25">
      <c r="B232" s="474"/>
      <c r="C232" s="474"/>
      <c r="D232" s="474"/>
      <c r="E232" s="474"/>
      <c r="F232" s="474"/>
      <c r="G232" s="474"/>
      <c r="H232" s="474"/>
      <c r="I232" s="474"/>
      <c r="J232" s="474"/>
      <c r="K232" s="475"/>
      <c r="L232" s="475"/>
      <c r="M232" s="475"/>
      <c r="N232" s="475"/>
      <c r="O232" s="475"/>
      <c r="P232" s="475"/>
      <c r="Q232" s="476"/>
      <c r="R232" s="476"/>
      <c r="S232" s="476"/>
      <c r="T232" s="476"/>
      <c r="U232" s="476"/>
      <c r="V232" s="477" t="s">
        <v>523</v>
      </c>
      <c r="W232" s="477"/>
      <c r="X232" s="477"/>
      <c r="Y232" s="477"/>
      <c r="Z232" s="477"/>
      <c r="AA232" s="477" t="s">
        <v>524</v>
      </c>
      <c r="AB232" s="477"/>
      <c r="AC232" s="477"/>
      <c r="AD232" s="477"/>
      <c r="AE232" s="477" t="s">
        <v>525</v>
      </c>
      <c r="AF232" s="477"/>
      <c r="AG232" s="477"/>
      <c r="AH232" s="477"/>
      <c r="AI232" s="477" t="s">
        <v>526</v>
      </c>
      <c r="AJ232" s="477"/>
      <c r="AK232" s="477"/>
      <c r="AL232" s="477"/>
      <c r="AM232" s="475" t="s">
        <v>527</v>
      </c>
      <c r="AN232" s="475"/>
      <c r="AO232" s="475"/>
      <c r="AP232" s="475"/>
      <c r="AQ232" s="475"/>
      <c r="AR232" s="475"/>
      <c r="AS232" s="475"/>
      <c r="AT232" s="475"/>
    </row>
    <row r="233" spans="2:48" x14ac:dyDescent="0.25">
      <c r="B233" s="474"/>
      <c r="C233" s="474"/>
      <c r="D233" s="474"/>
      <c r="E233" s="474"/>
      <c r="F233" s="474"/>
      <c r="G233" s="474"/>
      <c r="H233" s="474"/>
      <c r="I233" s="474"/>
      <c r="J233" s="474"/>
      <c r="K233" s="475"/>
      <c r="L233" s="475"/>
      <c r="M233" s="475"/>
      <c r="N233" s="475"/>
      <c r="O233" s="475"/>
      <c r="P233" s="475"/>
      <c r="Q233" s="476"/>
      <c r="R233" s="476"/>
      <c r="S233" s="476"/>
      <c r="T233" s="476"/>
      <c r="U233" s="476"/>
      <c r="V233" s="477"/>
      <c r="W233" s="477"/>
      <c r="X233" s="477"/>
      <c r="Y233" s="477"/>
      <c r="Z233" s="477"/>
      <c r="AA233" s="477"/>
      <c r="AB233" s="477"/>
      <c r="AC233" s="477"/>
      <c r="AD233" s="477"/>
      <c r="AE233" s="477"/>
      <c r="AF233" s="477"/>
      <c r="AG233" s="477"/>
      <c r="AH233" s="477"/>
      <c r="AI233" s="477"/>
      <c r="AJ233" s="477"/>
      <c r="AK233" s="477"/>
      <c r="AL233" s="477"/>
      <c r="AM233" s="477" t="s">
        <v>521</v>
      </c>
      <c r="AN233" s="477"/>
      <c r="AO233" s="477"/>
      <c r="AP233" s="477"/>
      <c r="AQ233" s="475" t="s">
        <v>528</v>
      </c>
      <c r="AR233" s="475"/>
      <c r="AS233" s="475"/>
      <c r="AT233" s="475"/>
    </row>
    <row r="234" spans="2:48" x14ac:dyDescent="0.25">
      <c r="B234" s="469">
        <v>1</v>
      </c>
      <c r="C234" s="470"/>
      <c r="D234" s="470"/>
      <c r="E234" s="470"/>
      <c r="F234" s="470"/>
      <c r="G234" s="470"/>
      <c r="H234" s="470"/>
      <c r="I234" s="470"/>
      <c r="J234" s="471"/>
      <c r="K234" s="478">
        <v>2</v>
      </c>
      <c r="L234" s="478"/>
      <c r="M234" s="478"/>
      <c r="N234" s="478">
        <v>3</v>
      </c>
      <c r="O234" s="478"/>
      <c r="P234" s="478"/>
      <c r="Q234" s="478">
        <v>4</v>
      </c>
      <c r="R234" s="478"/>
      <c r="S234" s="478"/>
      <c r="T234" s="478"/>
      <c r="U234" s="478"/>
      <c r="V234" s="375">
        <v>5</v>
      </c>
      <c r="W234" s="375"/>
      <c r="X234" s="375"/>
      <c r="Y234" s="375"/>
      <c r="Z234" s="375"/>
      <c r="AA234" s="466">
        <v>6</v>
      </c>
      <c r="AB234" s="467"/>
      <c r="AC234" s="467"/>
      <c r="AD234" s="468"/>
      <c r="AE234" s="466">
        <v>7</v>
      </c>
      <c r="AF234" s="467"/>
      <c r="AG234" s="467"/>
      <c r="AH234" s="468"/>
      <c r="AI234" s="466">
        <v>8</v>
      </c>
      <c r="AJ234" s="467"/>
      <c r="AK234" s="467"/>
      <c r="AL234" s="468"/>
      <c r="AM234" s="466">
        <v>9</v>
      </c>
      <c r="AN234" s="467"/>
      <c r="AO234" s="467"/>
      <c r="AP234" s="468"/>
      <c r="AQ234" s="469">
        <v>10</v>
      </c>
      <c r="AR234" s="470"/>
      <c r="AS234" s="470"/>
      <c r="AT234" s="471"/>
    </row>
    <row r="235" spans="2:48" ht="15.75" thickBot="1" x14ac:dyDescent="0.3">
      <c r="B235" s="486" t="s">
        <v>529</v>
      </c>
      <c r="C235" s="487"/>
      <c r="D235" s="487"/>
      <c r="E235" s="487"/>
      <c r="F235" s="487"/>
      <c r="G235" s="487"/>
      <c r="H235" s="487"/>
      <c r="I235" s="487"/>
      <c r="J235" s="487"/>
      <c r="K235" s="487"/>
      <c r="L235" s="487"/>
      <c r="M235" s="487"/>
      <c r="N235" s="487"/>
      <c r="O235" s="487"/>
      <c r="P235" s="487"/>
      <c r="Q235" s="487"/>
      <c r="R235" s="487"/>
      <c r="S235" s="487"/>
      <c r="T235" s="487"/>
      <c r="U235" s="487"/>
      <c r="V235" s="487"/>
      <c r="W235" s="487"/>
      <c r="X235" s="487"/>
      <c r="Y235" s="487"/>
      <c r="Z235" s="487"/>
      <c r="AA235" s="487"/>
      <c r="AB235" s="487"/>
      <c r="AC235" s="487"/>
      <c r="AD235" s="487"/>
      <c r="AE235" s="487"/>
      <c r="AF235" s="487"/>
      <c r="AG235" s="487"/>
      <c r="AH235" s="487"/>
      <c r="AI235" s="487"/>
      <c r="AJ235" s="487"/>
      <c r="AK235" s="487"/>
      <c r="AL235" s="487"/>
      <c r="AM235" s="487"/>
      <c r="AN235" s="487"/>
      <c r="AO235" s="487"/>
      <c r="AP235" s="487"/>
      <c r="AQ235" s="487"/>
      <c r="AR235" s="487"/>
      <c r="AS235" s="487"/>
      <c r="AT235" s="488"/>
    </row>
    <row r="236" spans="2:48" ht="15.75" thickBot="1" x14ac:dyDescent="0.3">
      <c r="B236" s="489" t="s">
        <v>530</v>
      </c>
      <c r="C236" s="490"/>
      <c r="D236" s="490"/>
      <c r="E236" s="490"/>
      <c r="F236" s="490"/>
      <c r="G236" s="490"/>
      <c r="H236" s="490"/>
      <c r="I236" s="490"/>
      <c r="J236" s="491"/>
      <c r="K236" s="479">
        <v>100</v>
      </c>
      <c r="L236" s="479"/>
      <c r="M236" s="479"/>
      <c r="N236" s="492" t="s">
        <v>26</v>
      </c>
      <c r="O236" s="492"/>
      <c r="P236" s="492"/>
      <c r="Q236" s="480">
        <f>Q237+Q239+Q240+Q241+Q242+Q243+Q244</f>
        <v>18860302.550000001</v>
      </c>
      <c r="R236" s="480"/>
      <c r="S236" s="480"/>
      <c r="T236" s="480"/>
      <c r="U236" s="480"/>
      <c r="V236" s="481">
        <f>V239</f>
        <v>14016450.23</v>
      </c>
      <c r="W236" s="481"/>
      <c r="X236" s="481"/>
      <c r="Y236" s="481"/>
      <c r="Z236" s="481"/>
      <c r="AA236" s="481">
        <f>AA242</f>
        <v>770780</v>
      </c>
      <c r="AB236" s="481"/>
      <c r="AC236" s="481"/>
      <c r="AD236" s="481"/>
      <c r="AE236" s="481">
        <f>AE242</f>
        <v>0</v>
      </c>
      <c r="AF236" s="481"/>
      <c r="AG236" s="481"/>
      <c r="AH236" s="481"/>
      <c r="AI236" s="481">
        <f>AI239</f>
        <v>0</v>
      </c>
      <c r="AJ236" s="481"/>
      <c r="AK236" s="481"/>
      <c r="AL236" s="481"/>
      <c r="AM236" s="482">
        <f>AM239+AM240+AM241+AM237</f>
        <v>4073072.32</v>
      </c>
      <c r="AN236" s="482"/>
      <c r="AO236" s="482"/>
      <c r="AP236" s="482"/>
      <c r="AQ236" s="480">
        <f>AQ239+AQ243</f>
        <v>0</v>
      </c>
      <c r="AR236" s="480"/>
      <c r="AS236" s="480"/>
      <c r="AT236" s="389"/>
      <c r="AU236" s="186">
        <f>Q236-F60-F168</f>
        <v>0</v>
      </c>
      <c r="AV236" s="187" t="s">
        <v>531</v>
      </c>
    </row>
    <row r="237" spans="2:48" x14ac:dyDescent="0.25">
      <c r="B237" s="414" t="s">
        <v>532</v>
      </c>
      <c r="C237" s="415"/>
      <c r="D237" s="415"/>
      <c r="E237" s="415"/>
      <c r="F237" s="415"/>
      <c r="G237" s="415"/>
      <c r="H237" s="415"/>
      <c r="I237" s="415"/>
      <c r="J237" s="416"/>
      <c r="K237" s="479">
        <v>110</v>
      </c>
      <c r="L237" s="479"/>
      <c r="M237" s="479"/>
      <c r="N237" s="479">
        <v>120</v>
      </c>
      <c r="O237" s="479"/>
      <c r="P237" s="479"/>
      <c r="Q237" s="480">
        <f>AM237</f>
        <v>0</v>
      </c>
      <c r="R237" s="480"/>
      <c r="S237" s="480"/>
      <c r="T237" s="480"/>
      <c r="U237" s="480"/>
      <c r="V237" s="481" t="s">
        <v>26</v>
      </c>
      <c r="W237" s="481"/>
      <c r="X237" s="481"/>
      <c r="Y237" s="481"/>
      <c r="Z237" s="481"/>
      <c r="AA237" s="481" t="s">
        <v>26</v>
      </c>
      <c r="AB237" s="481"/>
      <c r="AC237" s="481"/>
      <c r="AD237" s="481"/>
      <c r="AE237" s="481" t="s">
        <v>26</v>
      </c>
      <c r="AF237" s="481"/>
      <c r="AG237" s="481"/>
      <c r="AH237" s="481"/>
      <c r="AI237" s="481" t="s">
        <v>26</v>
      </c>
      <c r="AJ237" s="481"/>
      <c r="AK237" s="481"/>
      <c r="AL237" s="383"/>
      <c r="AM237" s="493">
        <f>F61</f>
        <v>0</v>
      </c>
      <c r="AN237" s="494"/>
      <c r="AO237" s="494"/>
      <c r="AP237" s="495"/>
      <c r="AQ237" s="391" t="s">
        <v>26</v>
      </c>
      <c r="AR237" s="480"/>
      <c r="AS237" s="480"/>
      <c r="AT237" s="480"/>
    </row>
    <row r="238" spans="2:48" ht="15.75" thickBot="1" x14ac:dyDescent="0.3">
      <c r="B238" s="483" t="s">
        <v>533</v>
      </c>
      <c r="C238" s="484"/>
      <c r="D238" s="484"/>
      <c r="E238" s="484"/>
      <c r="F238" s="484"/>
      <c r="G238" s="484"/>
      <c r="H238" s="484"/>
      <c r="I238" s="484"/>
      <c r="J238" s="485"/>
      <c r="K238" s="479"/>
      <c r="L238" s="479"/>
      <c r="M238" s="479"/>
      <c r="N238" s="479"/>
      <c r="O238" s="479"/>
      <c r="P238" s="479"/>
      <c r="Q238" s="480"/>
      <c r="R238" s="480"/>
      <c r="S238" s="480"/>
      <c r="T238" s="480"/>
      <c r="U238" s="480"/>
      <c r="V238" s="482"/>
      <c r="W238" s="482"/>
      <c r="X238" s="482"/>
      <c r="Y238" s="482"/>
      <c r="Z238" s="482"/>
      <c r="AA238" s="481"/>
      <c r="AB238" s="481"/>
      <c r="AC238" s="481"/>
      <c r="AD238" s="481"/>
      <c r="AE238" s="481"/>
      <c r="AF238" s="481"/>
      <c r="AG238" s="481"/>
      <c r="AH238" s="481"/>
      <c r="AI238" s="481"/>
      <c r="AJ238" s="481"/>
      <c r="AK238" s="481"/>
      <c r="AL238" s="383"/>
      <c r="AM238" s="496"/>
      <c r="AN238" s="497"/>
      <c r="AO238" s="497"/>
      <c r="AP238" s="498"/>
      <c r="AQ238" s="391"/>
      <c r="AR238" s="480"/>
      <c r="AS238" s="480"/>
      <c r="AT238" s="480"/>
    </row>
    <row r="239" spans="2:48" ht="15.75" thickBot="1" x14ac:dyDescent="0.3">
      <c r="B239" s="395" t="s">
        <v>534</v>
      </c>
      <c r="C239" s="396"/>
      <c r="D239" s="396"/>
      <c r="E239" s="396"/>
      <c r="F239" s="396"/>
      <c r="G239" s="396"/>
      <c r="H239" s="396"/>
      <c r="I239" s="396"/>
      <c r="J239" s="397"/>
      <c r="K239" s="479">
        <v>120</v>
      </c>
      <c r="L239" s="479"/>
      <c r="M239" s="479"/>
      <c r="N239" s="479">
        <v>130</v>
      </c>
      <c r="O239" s="479"/>
      <c r="P239" s="479"/>
      <c r="Q239" s="480">
        <f>V239+AI239+AM239+AQ239</f>
        <v>18063292.23</v>
      </c>
      <c r="R239" s="480"/>
      <c r="S239" s="480"/>
      <c r="T239" s="480"/>
      <c r="U239" s="389"/>
      <c r="V239" s="504">
        <f>F63</f>
        <v>14016450.23</v>
      </c>
      <c r="W239" s="505"/>
      <c r="X239" s="505"/>
      <c r="Y239" s="505"/>
      <c r="Z239" s="506"/>
      <c r="AA239" s="385" t="s">
        <v>26</v>
      </c>
      <c r="AB239" s="481"/>
      <c r="AC239" s="481"/>
      <c r="AD239" s="481"/>
      <c r="AE239" s="481" t="s">
        <v>26</v>
      </c>
      <c r="AF239" s="481"/>
      <c r="AG239" s="481"/>
      <c r="AH239" s="481"/>
      <c r="AI239" s="481"/>
      <c r="AJ239" s="481"/>
      <c r="AK239" s="481"/>
      <c r="AL239" s="383"/>
      <c r="AM239" s="499">
        <f>F64+'Утверждено (ПДД)'!D42</f>
        <v>4046842</v>
      </c>
      <c r="AN239" s="500"/>
      <c r="AO239" s="500"/>
      <c r="AP239" s="501"/>
      <c r="AQ239" s="391"/>
      <c r="AR239" s="480"/>
      <c r="AS239" s="480"/>
      <c r="AT239" s="480"/>
      <c r="AU239" s="134" t="s">
        <v>618</v>
      </c>
    </row>
    <row r="240" spans="2:48" ht="15.75" thickBot="1" x14ac:dyDescent="0.3">
      <c r="B240" s="395" t="s">
        <v>370</v>
      </c>
      <c r="C240" s="396"/>
      <c r="D240" s="396"/>
      <c r="E240" s="396"/>
      <c r="F240" s="396"/>
      <c r="G240" s="396"/>
      <c r="H240" s="396"/>
      <c r="I240" s="396"/>
      <c r="J240" s="397"/>
      <c r="K240" s="479">
        <v>130</v>
      </c>
      <c r="L240" s="479"/>
      <c r="M240" s="479"/>
      <c r="N240" s="479">
        <v>140</v>
      </c>
      <c r="O240" s="479"/>
      <c r="P240" s="479"/>
      <c r="Q240" s="480">
        <f>AM240</f>
        <v>0</v>
      </c>
      <c r="R240" s="480"/>
      <c r="S240" s="480"/>
      <c r="T240" s="480"/>
      <c r="U240" s="480"/>
      <c r="V240" s="502" t="s">
        <v>26</v>
      </c>
      <c r="W240" s="502"/>
      <c r="X240" s="502"/>
      <c r="Y240" s="502"/>
      <c r="Z240" s="502"/>
      <c r="AA240" s="481" t="s">
        <v>26</v>
      </c>
      <c r="AB240" s="481"/>
      <c r="AC240" s="481"/>
      <c r="AD240" s="481"/>
      <c r="AE240" s="481" t="s">
        <v>26</v>
      </c>
      <c r="AF240" s="481"/>
      <c r="AG240" s="481"/>
      <c r="AH240" s="481"/>
      <c r="AI240" s="481" t="s">
        <v>26</v>
      </c>
      <c r="AJ240" s="481"/>
      <c r="AK240" s="481"/>
      <c r="AL240" s="481"/>
      <c r="AM240" s="503">
        <f>F65</f>
        <v>0</v>
      </c>
      <c r="AN240" s="503"/>
      <c r="AO240" s="503"/>
      <c r="AP240" s="503"/>
      <c r="AQ240" s="480" t="s">
        <v>26</v>
      </c>
      <c r="AR240" s="480"/>
      <c r="AS240" s="480"/>
      <c r="AT240" s="480"/>
    </row>
    <row r="241" spans="1:47" ht="15.75" thickBot="1" x14ac:dyDescent="0.3">
      <c r="B241" s="395" t="s">
        <v>535</v>
      </c>
      <c r="C241" s="396"/>
      <c r="D241" s="396"/>
      <c r="E241" s="396"/>
      <c r="F241" s="396"/>
      <c r="G241" s="396"/>
      <c r="H241" s="396"/>
      <c r="I241" s="396"/>
      <c r="J241" s="397"/>
      <c r="K241" s="479">
        <v>140</v>
      </c>
      <c r="L241" s="479"/>
      <c r="M241" s="479"/>
      <c r="N241" s="479">
        <v>150</v>
      </c>
      <c r="O241" s="479"/>
      <c r="P241" s="479"/>
      <c r="Q241" s="480">
        <f>AM241</f>
        <v>26230.32</v>
      </c>
      <c r="R241" s="480"/>
      <c r="S241" s="480"/>
      <c r="T241" s="480"/>
      <c r="U241" s="480"/>
      <c r="V241" s="481" t="s">
        <v>26</v>
      </c>
      <c r="W241" s="481"/>
      <c r="X241" s="481"/>
      <c r="Y241" s="481"/>
      <c r="Z241" s="481"/>
      <c r="AA241" s="482" t="s">
        <v>26</v>
      </c>
      <c r="AB241" s="482"/>
      <c r="AC241" s="482"/>
      <c r="AD241" s="482"/>
      <c r="AE241" s="482" t="s">
        <v>26</v>
      </c>
      <c r="AF241" s="482"/>
      <c r="AG241" s="482"/>
      <c r="AH241" s="482"/>
      <c r="AI241" s="481" t="s">
        <v>26</v>
      </c>
      <c r="AJ241" s="481"/>
      <c r="AK241" s="481"/>
      <c r="AL241" s="383"/>
      <c r="AM241" s="504">
        <f>F67</f>
        <v>26230.32</v>
      </c>
      <c r="AN241" s="505"/>
      <c r="AO241" s="505"/>
      <c r="AP241" s="506"/>
      <c r="AQ241" s="391" t="s">
        <v>26</v>
      </c>
      <c r="AR241" s="480"/>
      <c r="AS241" s="480"/>
      <c r="AT241" s="480"/>
    </row>
    <row r="242" spans="1:47" ht="15.75" thickBot="1" x14ac:dyDescent="0.3">
      <c r="B242" s="395" t="s">
        <v>536</v>
      </c>
      <c r="C242" s="396"/>
      <c r="D242" s="396"/>
      <c r="E242" s="396"/>
      <c r="F242" s="396"/>
      <c r="G242" s="396"/>
      <c r="H242" s="396"/>
      <c r="I242" s="396"/>
      <c r="J242" s="397"/>
      <c r="K242" s="479">
        <v>150</v>
      </c>
      <c r="L242" s="479"/>
      <c r="M242" s="479"/>
      <c r="N242" s="429">
        <v>180</v>
      </c>
      <c r="O242" s="430"/>
      <c r="P242" s="431"/>
      <c r="Q242" s="389">
        <f>AE242+AA242</f>
        <v>770780</v>
      </c>
      <c r="R242" s="390"/>
      <c r="S242" s="390"/>
      <c r="T242" s="390"/>
      <c r="U242" s="391"/>
      <c r="V242" s="383" t="s">
        <v>26</v>
      </c>
      <c r="W242" s="384"/>
      <c r="X242" s="384"/>
      <c r="Y242" s="384"/>
      <c r="Z242" s="384"/>
      <c r="AA242" s="392">
        <f>F69</f>
        <v>770780</v>
      </c>
      <c r="AB242" s="393"/>
      <c r="AC242" s="393"/>
      <c r="AD242" s="394"/>
      <c r="AE242" s="392">
        <f>F72</f>
        <v>0</v>
      </c>
      <c r="AF242" s="393"/>
      <c r="AG242" s="393"/>
      <c r="AH242" s="394"/>
      <c r="AI242" s="384" t="s">
        <v>26</v>
      </c>
      <c r="AJ242" s="384"/>
      <c r="AK242" s="384"/>
      <c r="AL242" s="385"/>
      <c r="AM242" s="386" t="s">
        <v>26</v>
      </c>
      <c r="AN242" s="387"/>
      <c r="AO242" s="387"/>
      <c r="AP242" s="388"/>
      <c r="AQ242" s="389" t="s">
        <v>26</v>
      </c>
      <c r="AR242" s="390"/>
      <c r="AS242" s="390"/>
      <c r="AT242" s="391"/>
    </row>
    <row r="243" spans="1:47" ht="15.75" thickBot="1" x14ac:dyDescent="0.3">
      <c r="B243" s="395" t="s">
        <v>537</v>
      </c>
      <c r="C243" s="396"/>
      <c r="D243" s="396"/>
      <c r="E243" s="396"/>
      <c r="F243" s="396"/>
      <c r="G243" s="396"/>
      <c r="H243" s="396"/>
      <c r="I243" s="396"/>
      <c r="J243" s="397"/>
      <c r="K243" s="479">
        <v>160</v>
      </c>
      <c r="L243" s="479"/>
      <c r="M243" s="479"/>
      <c r="N243" s="429">
        <v>180</v>
      </c>
      <c r="O243" s="430"/>
      <c r="P243" s="431"/>
      <c r="Q243" s="389">
        <v>0</v>
      </c>
      <c r="R243" s="390"/>
      <c r="S243" s="390"/>
      <c r="T243" s="390"/>
      <c r="U243" s="391"/>
      <c r="V243" s="383" t="s">
        <v>26</v>
      </c>
      <c r="W243" s="384"/>
      <c r="X243" s="384"/>
      <c r="Y243" s="384"/>
      <c r="Z243" s="385"/>
      <c r="AA243" s="401" t="s">
        <v>26</v>
      </c>
      <c r="AB243" s="402"/>
      <c r="AC243" s="402"/>
      <c r="AD243" s="403"/>
      <c r="AE243" s="401" t="s">
        <v>26</v>
      </c>
      <c r="AF243" s="402"/>
      <c r="AG243" s="402"/>
      <c r="AH243" s="403"/>
      <c r="AI243" s="383" t="s">
        <v>26</v>
      </c>
      <c r="AJ243" s="384"/>
      <c r="AK243" s="384"/>
      <c r="AL243" s="384"/>
      <c r="AM243" s="392" t="s">
        <v>26</v>
      </c>
      <c r="AN243" s="393"/>
      <c r="AO243" s="393"/>
      <c r="AP243" s="394"/>
      <c r="AQ243" s="390"/>
      <c r="AR243" s="390"/>
      <c r="AS243" s="390"/>
      <c r="AT243" s="391"/>
    </row>
    <row r="244" spans="1:47" ht="15.75" thickBot="1" x14ac:dyDescent="0.3">
      <c r="B244" s="395" t="s">
        <v>538</v>
      </c>
      <c r="C244" s="396"/>
      <c r="D244" s="396"/>
      <c r="E244" s="396"/>
      <c r="F244" s="396"/>
      <c r="G244" s="396"/>
      <c r="H244" s="396"/>
      <c r="I244" s="396"/>
      <c r="J244" s="397"/>
      <c r="K244" s="479">
        <v>180</v>
      </c>
      <c r="L244" s="479"/>
      <c r="M244" s="479"/>
      <c r="N244" s="507" t="s">
        <v>26</v>
      </c>
      <c r="O244" s="508"/>
      <c r="P244" s="509"/>
      <c r="Q244" s="389">
        <f>Q245+Q247</f>
        <v>0</v>
      </c>
      <c r="R244" s="390"/>
      <c r="S244" s="390"/>
      <c r="T244" s="390"/>
      <c r="U244" s="391"/>
      <c r="V244" s="383" t="s">
        <v>26</v>
      </c>
      <c r="W244" s="384"/>
      <c r="X244" s="384"/>
      <c r="Y244" s="384"/>
      <c r="Z244" s="385"/>
      <c r="AA244" s="383" t="s">
        <v>26</v>
      </c>
      <c r="AB244" s="384"/>
      <c r="AC244" s="384"/>
      <c r="AD244" s="385"/>
      <c r="AE244" s="383" t="s">
        <v>26</v>
      </c>
      <c r="AF244" s="384"/>
      <c r="AG244" s="384"/>
      <c r="AH244" s="385"/>
      <c r="AI244" s="383" t="s">
        <v>26</v>
      </c>
      <c r="AJ244" s="384"/>
      <c r="AK244" s="384"/>
      <c r="AL244" s="385"/>
      <c r="AM244" s="386">
        <f>AM245+AM247</f>
        <v>0</v>
      </c>
      <c r="AN244" s="387"/>
      <c r="AO244" s="387"/>
      <c r="AP244" s="388"/>
      <c r="AQ244" s="389" t="s">
        <v>26</v>
      </c>
      <c r="AR244" s="390"/>
      <c r="AS244" s="390"/>
      <c r="AT244" s="391"/>
    </row>
    <row r="245" spans="1:47" x14ac:dyDescent="0.25">
      <c r="B245" s="414" t="s">
        <v>539</v>
      </c>
      <c r="C245" s="415"/>
      <c r="D245" s="415"/>
      <c r="E245" s="415"/>
      <c r="F245" s="415"/>
      <c r="G245" s="415"/>
      <c r="H245" s="415"/>
      <c r="I245" s="415"/>
      <c r="J245" s="416"/>
      <c r="K245" s="423">
        <v>181</v>
      </c>
      <c r="L245" s="424"/>
      <c r="M245" s="425"/>
      <c r="N245" s="423">
        <v>410</v>
      </c>
      <c r="O245" s="424"/>
      <c r="P245" s="425"/>
      <c r="Q245" s="440">
        <f>AM245</f>
        <v>0</v>
      </c>
      <c r="R245" s="410"/>
      <c r="S245" s="410"/>
      <c r="T245" s="410"/>
      <c r="U245" s="411"/>
      <c r="V245" s="398" t="s">
        <v>26</v>
      </c>
      <c r="W245" s="399"/>
      <c r="X245" s="399"/>
      <c r="Y245" s="399"/>
      <c r="Z245" s="400"/>
      <c r="AA245" s="398" t="s">
        <v>26</v>
      </c>
      <c r="AB245" s="399"/>
      <c r="AC245" s="399"/>
      <c r="AD245" s="400"/>
      <c r="AE245" s="398" t="s">
        <v>26</v>
      </c>
      <c r="AF245" s="399"/>
      <c r="AG245" s="399"/>
      <c r="AH245" s="400"/>
      <c r="AI245" s="398" t="s">
        <v>26</v>
      </c>
      <c r="AJ245" s="399"/>
      <c r="AK245" s="399"/>
      <c r="AL245" s="399"/>
      <c r="AM245" s="404">
        <f>F74</f>
        <v>0</v>
      </c>
      <c r="AN245" s="405"/>
      <c r="AO245" s="405"/>
      <c r="AP245" s="406"/>
      <c r="AQ245" s="410" t="s">
        <v>26</v>
      </c>
      <c r="AR245" s="410"/>
      <c r="AS245" s="410"/>
      <c r="AT245" s="411"/>
    </row>
    <row r="246" spans="1:47" ht="15.75" thickBot="1" x14ac:dyDescent="0.3">
      <c r="B246" s="483" t="s">
        <v>540</v>
      </c>
      <c r="C246" s="484"/>
      <c r="D246" s="484"/>
      <c r="E246" s="484"/>
      <c r="F246" s="484"/>
      <c r="G246" s="484"/>
      <c r="H246" s="484"/>
      <c r="I246" s="484"/>
      <c r="J246" s="485"/>
      <c r="K246" s="426"/>
      <c r="L246" s="427"/>
      <c r="M246" s="428"/>
      <c r="N246" s="426"/>
      <c r="O246" s="427"/>
      <c r="P246" s="428"/>
      <c r="Q246" s="441"/>
      <c r="R246" s="412"/>
      <c r="S246" s="412"/>
      <c r="T246" s="412"/>
      <c r="U246" s="413"/>
      <c r="V246" s="401"/>
      <c r="W246" s="402"/>
      <c r="X246" s="402"/>
      <c r="Y246" s="402"/>
      <c r="Z246" s="403"/>
      <c r="AA246" s="401"/>
      <c r="AB246" s="402"/>
      <c r="AC246" s="402"/>
      <c r="AD246" s="403"/>
      <c r="AE246" s="401"/>
      <c r="AF246" s="402"/>
      <c r="AG246" s="402"/>
      <c r="AH246" s="403"/>
      <c r="AI246" s="401"/>
      <c r="AJ246" s="402"/>
      <c r="AK246" s="402"/>
      <c r="AL246" s="402"/>
      <c r="AM246" s="407"/>
      <c r="AN246" s="408"/>
      <c r="AO246" s="408"/>
      <c r="AP246" s="409"/>
      <c r="AQ246" s="412"/>
      <c r="AR246" s="412"/>
      <c r="AS246" s="412"/>
      <c r="AT246" s="413"/>
    </row>
    <row r="247" spans="1:47" ht="15.75" thickBot="1" x14ac:dyDescent="0.3">
      <c r="B247" s="395" t="s">
        <v>541</v>
      </c>
      <c r="C247" s="396"/>
      <c r="D247" s="396"/>
      <c r="E247" s="396"/>
      <c r="F247" s="396"/>
      <c r="G247" s="396"/>
      <c r="H247" s="396"/>
      <c r="I247" s="396"/>
      <c r="J247" s="397"/>
      <c r="K247" s="429">
        <v>182</v>
      </c>
      <c r="L247" s="430"/>
      <c r="M247" s="431"/>
      <c r="N247" s="429">
        <v>440</v>
      </c>
      <c r="O247" s="430"/>
      <c r="P247" s="431"/>
      <c r="Q247" s="389">
        <f>AM247</f>
        <v>0</v>
      </c>
      <c r="R247" s="390"/>
      <c r="S247" s="390"/>
      <c r="T247" s="390"/>
      <c r="U247" s="391"/>
      <c r="V247" s="383" t="s">
        <v>26</v>
      </c>
      <c r="W247" s="384"/>
      <c r="X247" s="384"/>
      <c r="Y247" s="384"/>
      <c r="Z247" s="385"/>
      <c r="AA247" s="383" t="s">
        <v>26</v>
      </c>
      <c r="AB247" s="384"/>
      <c r="AC247" s="384"/>
      <c r="AD247" s="385"/>
      <c r="AE247" s="383" t="s">
        <v>26</v>
      </c>
      <c r="AF247" s="384"/>
      <c r="AG247" s="384"/>
      <c r="AH247" s="385"/>
      <c r="AI247" s="383" t="s">
        <v>26</v>
      </c>
      <c r="AJ247" s="384"/>
      <c r="AK247" s="384"/>
      <c r="AL247" s="384"/>
      <c r="AM247" s="392">
        <f>F75</f>
        <v>0</v>
      </c>
      <c r="AN247" s="393"/>
      <c r="AO247" s="393"/>
      <c r="AP247" s="394"/>
      <c r="AQ247" s="390" t="s">
        <v>26</v>
      </c>
      <c r="AR247" s="390"/>
      <c r="AS247" s="390"/>
      <c r="AT247" s="391"/>
    </row>
    <row r="248" spans="1:47" s="21" customFormat="1" ht="14.25" x14ac:dyDescent="0.2">
      <c r="A248" s="17"/>
      <c r="B248" s="489" t="s">
        <v>542</v>
      </c>
      <c r="C248" s="490"/>
      <c r="D248" s="490"/>
      <c r="E248" s="490"/>
      <c r="F248" s="490"/>
      <c r="G248" s="490"/>
      <c r="H248" s="490"/>
      <c r="I248" s="490"/>
      <c r="J248" s="491"/>
      <c r="K248" s="510">
        <v>200</v>
      </c>
      <c r="L248" s="511"/>
      <c r="M248" s="512"/>
      <c r="N248" s="513" t="s">
        <v>26</v>
      </c>
      <c r="O248" s="514"/>
      <c r="P248" s="515"/>
      <c r="Q248" s="516">
        <f>SUM(V248:AT248)</f>
        <v>18892786.149999999</v>
      </c>
      <c r="R248" s="517"/>
      <c r="S248" s="517"/>
      <c r="T248" s="517"/>
      <c r="U248" s="518"/>
      <c r="V248" s="519">
        <f>V249+V258+V275+V264+V270+V269</f>
        <v>13808312.060000001</v>
      </c>
      <c r="W248" s="520"/>
      <c r="X248" s="520"/>
      <c r="Y248" s="520"/>
      <c r="Z248" s="521"/>
      <c r="AA248" s="519">
        <f>AA249+AA258+AA275+AA264+AA270+AA269</f>
        <v>26230.32</v>
      </c>
      <c r="AB248" s="520"/>
      <c r="AC248" s="520"/>
      <c r="AD248" s="521"/>
      <c r="AE248" s="519">
        <f>AE249+AE258+AE275+AE264+AE270+AE269</f>
        <v>0</v>
      </c>
      <c r="AF248" s="520"/>
      <c r="AG248" s="520"/>
      <c r="AH248" s="521"/>
      <c r="AI248" s="519">
        <f>AI249+AI258+AI275+AI264+AI270+AI269</f>
        <v>0</v>
      </c>
      <c r="AJ248" s="520"/>
      <c r="AK248" s="520"/>
      <c r="AL248" s="521"/>
      <c r="AM248" s="522">
        <f>AM249+AM258+AM275+AM264+AM270+AM269</f>
        <v>5058243.7699999996</v>
      </c>
      <c r="AN248" s="523"/>
      <c r="AO248" s="523"/>
      <c r="AP248" s="524"/>
      <c r="AQ248" s="516">
        <f>AQ249+AQ258+AQ275+AQ264+AQ270+AQ269</f>
        <v>0</v>
      </c>
      <c r="AR248" s="517"/>
      <c r="AS248" s="517"/>
      <c r="AT248" s="518"/>
      <c r="AU248" s="190">
        <f>Q248-F78</f>
        <v>-635689.81000000238</v>
      </c>
    </row>
    <row r="249" spans="1:47" x14ac:dyDescent="0.25">
      <c r="B249" s="414" t="s">
        <v>543</v>
      </c>
      <c r="C249" s="415"/>
      <c r="D249" s="415"/>
      <c r="E249" s="415"/>
      <c r="F249" s="415"/>
      <c r="G249" s="415"/>
      <c r="H249" s="415"/>
      <c r="I249" s="415"/>
      <c r="J249" s="416"/>
      <c r="K249" s="423">
        <v>210</v>
      </c>
      <c r="L249" s="424"/>
      <c r="M249" s="425"/>
      <c r="N249" s="423">
        <v>100</v>
      </c>
      <c r="O249" s="424"/>
      <c r="P249" s="425"/>
      <c r="Q249" s="440">
        <f t="shared" ref="Q249:Q268" si="58">SUM(V249:AT249)</f>
        <v>13222149.640000001</v>
      </c>
      <c r="R249" s="410"/>
      <c r="S249" s="410"/>
      <c r="T249" s="410"/>
      <c r="U249" s="411"/>
      <c r="V249" s="398">
        <f>V251</f>
        <v>13222149.640000001</v>
      </c>
      <c r="W249" s="399"/>
      <c r="X249" s="399"/>
      <c r="Y249" s="399"/>
      <c r="Z249" s="400"/>
      <c r="AA249" s="398">
        <f>AA251</f>
        <v>0</v>
      </c>
      <c r="AB249" s="399"/>
      <c r="AC249" s="399"/>
      <c r="AD249" s="400"/>
      <c r="AE249" s="398">
        <f>AE251</f>
        <v>0</v>
      </c>
      <c r="AF249" s="399"/>
      <c r="AG249" s="399"/>
      <c r="AH249" s="400"/>
      <c r="AI249" s="398">
        <f>AI251</f>
        <v>0</v>
      </c>
      <c r="AJ249" s="399"/>
      <c r="AK249" s="399"/>
      <c r="AL249" s="400"/>
      <c r="AM249" s="398">
        <f>AM251</f>
        <v>0</v>
      </c>
      <c r="AN249" s="399"/>
      <c r="AO249" s="399"/>
      <c r="AP249" s="400"/>
      <c r="AQ249" s="440">
        <f>AQ251</f>
        <v>0</v>
      </c>
      <c r="AR249" s="410"/>
      <c r="AS249" s="410"/>
      <c r="AT249" s="411"/>
    </row>
    <row r="250" spans="1:47" x14ac:dyDescent="0.25">
      <c r="B250" s="483" t="s">
        <v>544</v>
      </c>
      <c r="C250" s="484"/>
      <c r="D250" s="484"/>
      <c r="E250" s="484"/>
      <c r="F250" s="484"/>
      <c r="G250" s="484"/>
      <c r="H250" s="484"/>
      <c r="I250" s="484"/>
      <c r="J250" s="485"/>
      <c r="K250" s="426"/>
      <c r="L250" s="427"/>
      <c r="M250" s="428"/>
      <c r="N250" s="426"/>
      <c r="O250" s="427"/>
      <c r="P250" s="428"/>
      <c r="Q250" s="441">
        <f t="shared" si="58"/>
        <v>0</v>
      </c>
      <c r="R250" s="412"/>
      <c r="S250" s="412"/>
      <c r="T250" s="412"/>
      <c r="U250" s="413"/>
      <c r="V250" s="401"/>
      <c r="W250" s="402"/>
      <c r="X250" s="402"/>
      <c r="Y250" s="402"/>
      <c r="Z250" s="403"/>
      <c r="AA250" s="401"/>
      <c r="AB250" s="402"/>
      <c r="AC250" s="402"/>
      <c r="AD250" s="403"/>
      <c r="AE250" s="401"/>
      <c r="AF250" s="402"/>
      <c r="AG250" s="402"/>
      <c r="AH250" s="403"/>
      <c r="AI250" s="401"/>
      <c r="AJ250" s="402"/>
      <c r="AK250" s="402"/>
      <c r="AL250" s="403"/>
      <c r="AM250" s="401"/>
      <c r="AN250" s="402"/>
      <c r="AO250" s="402"/>
      <c r="AP250" s="403"/>
      <c r="AQ250" s="441"/>
      <c r="AR250" s="412"/>
      <c r="AS250" s="412"/>
      <c r="AT250" s="413"/>
    </row>
    <row r="251" spans="1:47" x14ac:dyDescent="0.25">
      <c r="B251" s="414" t="s">
        <v>545</v>
      </c>
      <c r="C251" s="415"/>
      <c r="D251" s="415"/>
      <c r="E251" s="415"/>
      <c r="F251" s="415"/>
      <c r="G251" s="415"/>
      <c r="H251" s="415"/>
      <c r="I251" s="415"/>
      <c r="J251" s="416"/>
      <c r="K251" s="423">
        <v>211</v>
      </c>
      <c r="L251" s="424"/>
      <c r="M251" s="425"/>
      <c r="N251" s="423">
        <v>110</v>
      </c>
      <c r="O251" s="424"/>
      <c r="P251" s="425"/>
      <c r="Q251" s="440">
        <f t="shared" si="58"/>
        <v>13222149.640000001</v>
      </c>
      <c r="R251" s="410"/>
      <c r="S251" s="410"/>
      <c r="T251" s="410"/>
      <c r="U251" s="411"/>
      <c r="V251" s="398">
        <f>SUM(V253:Z257)</f>
        <v>13222149.640000001</v>
      </c>
      <c r="W251" s="399"/>
      <c r="X251" s="399"/>
      <c r="Y251" s="399"/>
      <c r="Z251" s="400"/>
      <c r="AA251" s="398">
        <f>SUM(AA253:AD257)</f>
        <v>0</v>
      </c>
      <c r="AB251" s="399"/>
      <c r="AC251" s="399"/>
      <c r="AD251" s="400"/>
      <c r="AE251" s="398">
        <f>SUM(AE253:AH257)</f>
        <v>0</v>
      </c>
      <c r="AF251" s="399"/>
      <c r="AG251" s="399"/>
      <c r="AH251" s="400"/>
      <c r="AI251" s="398">
        <f>SUM(AI253:AL257)</f>
        <v>0</v>
      </c>
      <c r="AJ251" s="399"/>
      <c r="AK251" s="399"/>
      <c r="AL251" s="400"/>
      <c r="AM251" s="398">
        <f>SUM(AM253:AP257)</f>
        <v>0</v>
      </c>
      <c r="AN251" s="399"/>
      <c r="AO251" s="399"/>
      <c r="AP251" s="400"/>
      <c r="AQ251" s="440">
        <f>SUM(AQ253:AT257)</f>
        <v>0</v>
      </c>
      <c r="AR251" s="410"/>
      <c r="AS251" s="410"/>
      <c r="AT251" s="411"/>
    </row>
    <row r="252" spans="1:47" ht="15.75" thickBot="1" x14ac:dyDescent="0.3">
      <c r="B252" s="483" t="s">
        <v>546</v>
      </c>
      <c r="C252" s="484"/>
      <c r="D252" s="484"/>
      <c r="E252" s="484"/>
      <c r="F252" s="484"/>
      <c r="G252" s="484"/>
      <c r="H252" s="484"/>
      <c r="I252" s="484"/>
      <c r="J252" s="485"/>
      <c r="K252" s="426"/>
      <c r="L252" s="427"/>
      <c r="M252" s="428"/>
      <c r="N252" s="426"/>
      <c r="O252" s="427"/>
      <c r="P252" s="428"/>
      <c r="Q252" s="441">
        <f t="shared" si="58"/>
        <v>0</v>
      </c>
      <c r="R252" s="412"/>
      <c r="S252" s="412"/>
      <c r="T252" s="412"/>
      <c r="U252" s="413"/>
      <c r="V252" s="386"/>
      <c r="W252" s="387"/>
      <c r="X252" s="387"/>
      <c r="Y252" s="387"/>
      <c r="Z252" s="388"/>
      <c r="AA252" s="386"/>
      <c r="AB252" s="387"/>
      <c r="AC252" s="387"/>
      <c r="AD252" s="388"/>
      <c r="AE252" s="401"/>
      <c r="AF252" s="402"/>
      <c r="AG252" s="402"/>
      <c r="AH252" s="403"/>
      <c r="AI252" s="401"/>
      <c r="AJ252" s="402"/>
      <c r="AK252" s="402"/>
      <c r="AL252" s="403"/>
      <c r="AM252" s="386"/>
      <c r="AN252" s="387"/>
      <c r="AO252" s="387"/>
      <c r="AP252" s="388"/>
      <c r="AQ252" s="441"/>
      <c r="AR252" s="412"/>
      <c r="AS252" s="412"/>
      <c r="AT252" s="413"/>
    </row>
    <row r="253" spans="1:47" x14ac:dyDescent="0.25">
      <c r="B253" s="414" t="s">
        <v>547</v>
      </c>
      <c r="C253" s="415"/>
      <c r="D253" s="415"/>
      <c r="E253" s="415"/>
      <c r="F253" s="415"/>
      <c r="G253" s="415"/>
      <c r="H253" s="415"/>
      <c r="I253" s="415"/>
      <c r="J253" s="416"/>
      <c r="K253" s="417" t="s">
        <v>548</v>
      </c>
      <c r="L253" s="418"/>
      <c r="M253" s="419"/>
      <c r="N253" s="423">
        <v>111</v>
      </c>
      <c r="O253" s="424"/>
      <c r="P253" s="425"/>
      <c r="Q253" s="440">
        <f t="shared" si="58"/>
        <v>10233882.640000001</v>
      </c>
      <c r="R253" s="410"/>
      <c r="S253" s="410"/>
      <c r="T253" s="410"/>
      <c r="U253" s="410"/>
      <c r="V253" s="525">
        <f>F81</f>
        <v>10233882.640000001</v>
      </c>
      <c r="W253" s="526"/>
      <c r="X253" s="526"/>
      <c r="Y253" s="526"/>
      <c r="Z253" s="527"/>
      <c r="AA253" s="404">
        <f>F83</f>
        <v>0</v>
      </c>
      <c r="AB253" s="405"/>
      <c r="AC253" s="405"/>
      <c r="AD253" s="406"/>
      <c r="AE253" s="399"/>
      <c r="AF253" s="399"/>
      <c r="AG253" s="399"/>
      <c r="AH253" s="400"/>
      <c r="AI253" s="398"/>
      <c r="AJ253" s="399"/>
      <c r="AK253" s="399"/>
      <c r="AL253" s="399"/>
      <c r="AM253" s="404">
        <f>F82</f>
        <v>0</v>
      </c>
      <c r="AN253" s="405"/>
      <c r="AO253" s="405"/>
      <c r="AP253" s="406"/>
      <c r="AQ253" s="410"/>
      <c r="AR253" s="410"/>
      <c r="AS253" s="410"/>
      <c r="AT253" s="411"/>
    </row>
    <row r="254" spans="1:47" ht="15.75" thickBot="1" x14ac:dyDescent="0.3">
      <c r="B254" s="483" t="s">
        <v>549</v>
      </c>
      <c r="C254" s="484"/>
      <c r="D254" s="484"/>
      <c r="E254" s="484"/>
      <c r="F254" s="484"/>
      <c r="G254" s="484"/>
      <c r="H254" s="484"/>
      <c r="I254" s="484"/>
      <c r="J254" s="485"/>
      <c r="K254" s="420"/>
      <c r="L254" s="421"/>
      <c r="M254" s="422"/>
      <c r="N254" s="426"/>
      <c r="O254" s="427"/>
      <c r="P254" s="428"/>
      <c r="Q254" s="441">
        <f t="shared" si="58"/>
        <v>0</v>
      </c>
      <c r="R254" s="412"/>
      <c r="S254" s="412"/>
      <c r="T254" s="412"/>
      <c r="U254" s="412"/>
      <c r="V254" s="528"/>
      <c r="W254" s="529"/>
      <c r="X254" s="529"/>
      <c r="Y254" s="529"/>
      <c r="Z254" s="530"/>
      <c r="AA254" s="407"/>
      <c r="AB254" s="408"/>
      <c r="AC254" s="408"/>
      <c r="AD254" s="409"/>
      <c r="AE254" s="402"/>
      <c r="AF254" s="402"/>
      <c r="AG254" s="402"/>
      <c r="AH254" s="403"/>
      <c r="AI254" s="401"/>
      <c r="AJ254" s="402"/>
      <c r="AK254" s="402"/>
      <c r="AL254" s="402"/>
      <c r="AM254" s="407"/>
      <c r="AN254" s="408"/>
      <c r="AO254" s="408"/>
      <c r="AP254" s="409"/>
      <c r="AQ254" s="412"/>
      <c r="AR254" s="412"/>
      <c r="AS254" s="412"/>
      <c r="AT254" s="413"/>
    </row>
    <row r="255" spans="1:47" ht="15.75" thickBot="1" x14ac:dyDescent="0.3">
      <c r="B255" s="395" t="s">
        <v>550</v>
      </c>
      <c r="C255" s="396"/>
      <c r="D255" s="396"/>
      <c r="E255" s="396"/>
      <c r="F255" s="396"/>
      <c r="G255" s="396"/>
      <c r="H255" s="396"/>
      <c r="I255" s="396"/>
      <c r="J255" s="397"/>
      <c r="K255" s="507" t="s">
        <v>551</v>
      </c>
      <c r="L255" s="508"/>
      <c r="M255" s="509"/>
      <c r="N255" s="429">
        <v>112</v>
      </c>
      <c r="O255" s="430"/>
      <c r="P255" s="431"/>
      <c r="Q255" s="389">
        <f t="shared" si="58"/>
        <v>0</v>
      </c>
      <c r="R255" s="390"/>
      <c r="S255" s="390"/>
      <c r="T255" s="390"/>
      <c r="U255" s="390"/>
      <c r="V255" s="392">
        <f>F85</f>
        <v>0</v>
      </c>
      <c r="W255" s="393"/>
      <c r="X255" s="393"/>
      <c r="Y255" s="393"/>
      <c r="Z255" s="394"/>
      <c r="AA255" s="402"/>
      <c r="AB255" s="402"/>
      <c r="AC255" s="402"/>
      <c r="AD255" s="403"/>
      <c r="AE255" s="383"/>
      <c r="AF255" s="384"/>
      <c r="AG255" s="384"/>
      <c r="AH255" s="385"/>
      <c r="AI255" s="383"/>
      <c r="AJ255" s="384"/>
      <c r="AK255" s="384"/>
      <c r="AL255" s="384"/>
      <c r="AM255" s="392">
        <f>F86</f>
        <v>0</v>
      </c>
      <c r="AN255" s="393"/>
      <c r="AO255" s="393"/>
      <c r="AP255" s="394"/>
      <c r="AQ255" s="390"/>
      <c r="AR255" s="390"/>
      <c r="AS255" s="390"/>
      <c r="AT255" s="391"/>
    </row>
    <row r="256" spans="1:47" ht="15.75" thickBot="1" x14ac:dyDescent="0.3">
      <c r="B256" s="395" t="s">
        <v>552</v>
      </c>
      <c r="C256" s="396"/>
      <c r="D256" s="396"/>
      <c r="E256" s="396"/>
      <c r="F256" s="396"/>
      <c r="G256" s="396"/>
      <c r="H256" s="396"/>
      <c r="I256" s="396"/>
      <c r="J256" s="397"/>
      <c r="K256" s="507" t="s">
        <v>553</v>
      </c>
      <c r="L256" s="508"/>
      <c r="M256" s="509"/>
      <c r="N256" s="429">
        <v>113</v>
      </c>
      <c r="O256" s="430"/>
      <c r="P256" s="431"/>
      <c r="Q256" s="389">
        <f t="shared" si="58"/>
        <v>0</v>
      </c>
      <c r="R256" s="390"/>
      <c r="S256" s="390"/>
      <c r="T256" s="390"/>
      <c r="U256" s="391"/>
      <c r="V256" s="386"/>
      <c r="W256" s="387"/>
      <c r="X256" s="387"/>
      <c r="Y256" s="387"/>
      <c r="Z256" s="388"/>
      <c r="AA256" s="383"/>
      <c r="AB256" s="384"/>
      <c r="AC256" s="384"/>
      <c r="AD256" s="385"/>
      <c r="AE256" s="383"/>
      <c r="AF256" s="384"/>
      <c r="AG256" s="384"/>
      <c r="AH256" s="385"/>
      <c r="AI256" s="383"/>
      <c r="AJ256" s="384"/>
      <c r="AK256" s="384"/>
      <c r="AL256" s="385"/>
      <c r="AM256" s="386"/>
      <c r="AN256" s="387"/>
      <c r="AO256" s="387"/>
      <c r="AP256" s="388"/>
      <c r="AQ256" s="389"/>
      <c r="AR256" s="390"/>
      <c r="AS256" s="390"/>
      <c r="AT256" s="391"/>
    </row>
    <row r="257" spans="2:48" ht="15.75" thickBot="1" x14ac:dyDescent="0.3">
      <c r="B257" s="395" t="s">
        <v>554</v>
      </c>
      <c r="C257" s="396"/>
      <c r="D257" s="396"/>
      <c r="E257" s="396"/>
      <c r="F257" s="396"/>
      <c r="G257" s="396"/>
      <c r="H257" s="396"/>
      <c r="I257" s="396"/>
      <c r="J257" s="397"/>
      <c r="K257" s="507" t="s">
        <v>555</v>
      </c>
      <c r="L257" s="508"/>
      <c r="M257" s="509"/>
      <c r="N257" s="429">
        <v>119</v>
      </c>
      <c r="O257" s="430"/>
      <c r="P257" s="431"/>
      <c r="Q257" s="389">
        <f t="shared" si="58"/>
        <v>2988267</v>
      </c>
      <c r="R257" s="390"/>
      <c r="S257" s="390"/>
      <c r="T257" s="390"/>
      <c r="U257" s="390"/>
      <c r="V257" s="392">
        <f>F92</f>
        <v>2988267</v>
      </c>
      <c r="W257" s="393"/>
      <c r="X257" s="393"/>
      <c r="Y257" s="393"/>
      <c r="Z257" s="394"/>
      <c r="AA257" s="384"/>
      <c r="AB257" s="384"/>
      <c r="AC257" s="384"/>
      <c r="AD257" s="385"/>
      <c r="AE257" s="383"/>
      <c r="AF257" s="384"/>
      <c r="AG257" s="384"/>
      <c r="AH257" s="385"/>
      <c r="AI257" s="383"/>
      <c r="AJ257" s="384"/>
      <c r="AK257" s="384"/>
      <c r="AL257" s="384"/>
      <c r="AM257" s="392">
        <f>F93</f>
        <v>0</v>
      </c>
      <c r="AN257" s="393"/>
      <c r="AO257" s="393"/>
      <c r="AP257" s="394"/>
      <c r="AQ257" s="390"/>
      <c r="AR257" s="390"/>
      <c r="AS257" s="390"/>
      <c r="AT257" s="391"/>
    </row>
    <row r="258" spans="2:48" ht="15.75" thickBot="1" x14ac:dyDescent="0.3">
      <c r="B258" s="395" t="s">
        <v>556</v>
      </c>
      <c r="C258" s="396"/>
      <c r="D258" s="396"/>
      <c r="E258" s="396"/>
      <c r="F258" s="396"/>
      <c r="G258" s="396"/>
      <c r="H258" s="396"/>
      <c r="I258" s="396"/>
      <c r="J258" s="397"/>
      <c r="K258" s="429">
        <v>220</v>
      </c>
      <c r="L258" s="430"/>
      <c r="M258" s="431"/>
      <c r="N258" s="429">
        <v>300</v>
      </c>
      <c r="O258" s="430"/>
      <c r="P258" s="431"/>
      <c r="Q258" s="389">
        <f t="shared" si="58"/>
        <v>0</v>
      </c>
      <c r="R258" s="390"/>
      <c r="S258" s="390"/>
      <c r="T258" s="390"/>
      <c r="U258" s="391"/>
      <c r="V258" s="386">
        <f>SUM(V259:Z263)</f>
        <v>0</v>
      </c>
      <c r="W258" s="387"/>
      <c r="X258" s="387"/>
      <c r="Y258" s="387"/>
      <c r="Z258" s="388"/>
      <c r="AA258" s="383">
        <f>SUM(AA259:AD263)</f>
        <v>0</v>
      </c>
      <c r="AB258" s="384"/>
      <c r="AC258" s="384"/>
      <c r="AD258" s="385"/>
      <c r="AE258" s="383">
        <f>SUM(AE259:AH263)</f>
        <v>0</v>
      </c>
      <c r="AF258" s="384"/>
      <c r="AG258" s="384"/>
      <c r="AH258" s="385"/>
      <c r="AI258" s="383">
        <f>SUM(AI259:AL263)</f>
        <v>0</v>
      </c>
      <c r="AJ258" s="384"/>
      <c r="AK258" s="384"/>
      <c r="AL258" s="385"/>
      <c r="AM258" s="386">
        <f>SUM(AM259:AP263)</f>
        <v>0</v>
      </c>
      <c r="AN258" s="387"/>
      <c r="AO258" s="387"/>
      <c r="AP258" s="388"/>
      <c r="AQ258" s="389">
        <f>SUM(AQ259:AT263)</f>
        <v>0</v>
      </c>
      <c r="AR258" s="390"/>
      <c r="AS258" s="390"/>
      <c r="AT258" s="391"/>
    </row>
    <row r="259" spans="2:48" x14ac:dyDescent="0.25">
      <c r="B259" s="414" t="s">
        <v>557</v>
      </c>
      <c r="C259" s="415"/>
      <c r="D259" s="415"/>
      <c r="E259" s="415"/>
      <c r="F259" s="415"/>
      <c r="G259" s="415"/>
      <c r="H259" s="415"/>
      <c r="I259" s="415"/>
      <c r="J259" s="416"/>
      <c r="K259" s="423">
        <v>221</v>
      </c>
      <c r="L259" s="424"/>
      <c r="M259" s="425"/>
      <c r="N259" s="423">
        <v>321</v>
      </c>
      <c r="O259" s="424"/>
      <c r="P259" s="425"/>
      <c r="Q259" s="440">
        <f t="shared" si="58"/>
        <v>0</v>
      </c>
      <c r="R259" s="410"/>
      <c r="S259" s="410"/>
      <c r="T259" s="410"/>
      <c r="U259" s="410"/>
      <c r="V259" s="525">
        <f>F101</f>
        <v>0</v>
      </c>
      <c r="W259" s="526"/>
      <c r="X259" s="526"/>
      <c r="Y259" s="526"/>
      <c r="Z259" s="527"/>
      <c r="AA259" s="399"/>
      <c r="AB259" s="399"/>
      <c r="AC259" s="399"/>
      <c r="AD259" s="400"/>
      <c r="AE259" s="398"/>
      <c r="AF259" s="399"/>
      <c r="AG259" s="399"/>
      <c r="AH259" s="400"/>
      <c r="AI259" s="398"/>
      <c r="AJ259" s="399"/>
      <c r="AK259" s="399"/>
      <c r="AL259" s="399"/>
      <c r="AM259" s="404">
        <f>F102</f>
        <v>0</v>
      </c>
      <c r="AN259" s="405"/>
      <c r="AO259" s="405"/>
      <c r="AP259" s="406"/>
      <c r="AQ259" s="410"/>
      <c r="AR259" s="410"/>
      <c r="AS259" s="410"/>
      <c r="AT259" s="411"/>
    </row>
    <row r="260" spans="2:48" ht="15.75" thickBot="1" x14ac:dyDescent="0.3">
      <c r="B260" s="483" t="s">
        <v>558</v>
      </c>
      <c r="C260" s="484"/>
      <c r="D260" s="484"/>
      <c r="E260" s="484"/>
      <c r="F260" s="484"/>
      <c r="G260" s="484"/>
      <c r="H260" s="484"/>
      <c r="I260" s="484"/>
      <c r="J260" s="485"/>
      <c r="K260" s="426"/>
      <c r="L260" s="427"/>
      <c r="M260" s="428"/>
      <c r="N260" s="426"/>
      <c r="O260" s="427"/>
      <c r="P260" s="428"/>
      <c r="Q260" s="441">
        <f t="shared" si="58"/>
        <v>0</v>
      </c>
      <c r="R260" s="412"/>
      <c r="S260" s="412"/>
      <c r="T260" s="412"/>
      <c r="U260" s="412"/>
      <c r="V260" s="528"/>
      <c r="W260" s="529"/>
      <c r="X260" s="529"/>
      <c r="Y260" s="529"/>
      <c r="Z260" s="530"/>
      <c r="AA260" s="387"/>
      <c r="AB260" s="387"/>
      <c r="AC260" s="387"/>
      <c r="AD260" s="388"/>
      <c r="AE260" s="401"/>
      <c r="AF260" s="402"/>
      <c r="AG260" s="402"/>
      <c r="AH260" s="403"/>
      <c r="AI260" s="401"/>
      <c r="AJ260" s="402"/>
      <c r="AK260" s="402"/>
      <c r="AL260" s="402"/>
      <c r="AM260" s="407"/>
      <c r="AN260" s="408"/>
      <c r="AO260" s="408"/>
      <c r="AP260" s="409"/>
      <c r="AQ260" s="412"/>
      <c r="AR260" s="412"/>
      <c r="AS260" s="412"/>
      <c r="AT260" s="413"/>
    </row>
    <row r="261" spans="2:48" ht="15.75" thickBot="1" x14ac:dyDescent="0.3">
      <c r="B261" s="395" t="s">
        <v>559</v>
      </c>
      <c r="C261" s="396"/>
      <c r="D261" s="396"/>
      <c r="E261" s="396"/>
      <c r="F261" s="396"/>
      <c r="G261" s="396"/>
      <c r="H261" s="396"/>
      <c r="I261" s="396"/>
      <c r="J261" s="397"/>
      <c r="K261" s="429">
        <v>222</v>
      </c>
      <c r="L261" s="430"/>
      <c r="M261" s="431"/>
      <c r="N261" s="429">
        <v>323</v>
      </c>
      <c r="O261" s="430"/>
      <c r="P261" s="431"/>
      <c r="Q261" s="389">
        <f t="shared" ref="Q261" si="59">SUM(V261:AT261)</f>
        <v>0</v>
      </c>
      <c r="R261" s="390"/>
      <c r="S261" s="390"/>
      <c r="T261" s="390"/>
      <c r="U261" s="391"/>
      <c r="V261" s="401"/>
      <c r="W261" s="402"/>
      <c r="X261" s="402"/>
      <c r="Y261" s="402"/>
      <c r="Z261" s="402"/>
      <c r="AA261" s="392">
        <f>F104</f>
        <v>0</v>
      </c>
      <c r="AB261" s="393"/>
      <c r="AC261" s="393"/>
      <c r="AD261" s="394"/>
      <c r="AE261" s="384"/>
      <c r="AF261" s="384"/>
      <c r="AG261" s="384"/>
      <c r="AH261" s="385"/>
      <c r="AI261" s="383"/>
      <c r="AJ261" s="384"/>
      <c r="AK261" s="384"/>
      <c r="AL261" s="385"/>
      <c r="AM261" s="401"/>
      <c r="AN261" s="402"/>
      <c r="AO261" s="402"/>
      <c r="AP261" s="403"/>
      <c r="AQ261" s="389"/>
      <c r="AR261" s="390"/>
      <c r="AS261" s="390"/>
      <c r="AT261" s="391"/>
    </row>
    <row r="262" spans="2:48" ht="15.75" thickBot="1" x14ac:dyDescent="0.3">
      <c r="B262" s="395" t="s">
        <v>560</v>
      </c>
      <c r="C262" s="396"/>
      <c r="D262" s="396"/>
      <c r="E262" s="396"/>
      <c r="F262" s="396"/>
      <c r="G262" s="396"/>
      <c r="H262" s="396"/>
      <c r="I262" s="396"/>
      <c r="J262" s="397"/>
      <c r="K262" s="429">
        <v>223</v>
      </c>
      <c r="L262" s="430"/>
      <c r="M262" s="431"/>
      <c r="N262" s="429">
        <v>340</v>
      </c>
      <c r="O262" s="430"/>
      <c r="P262" s="431"/>
      <c r="Q262" s="389">
        <f t="shared" si="58"/>
        <v>0</v>
      </c>
      <c r="R262" s="390"/>
      <c r="S262" s="390"/>
      <c r="T262" s="390"/>
      <c r="U262" s="391"/>
      <c r="V262" s="432"/>
      <c r="W262" s="433"/>
      <c r="X262" s="433"/>
      <c r="Y262" s="433"/>
      <c r="Z262" s="433"/>
      <c r="AA262" s="392">
        <f>F106</f>
        <v>0</v>
      </c>
      <c r="AB262" s="393"/>
      <c r="AC262" s="393"/>
      <c r="AD262" s="394"/>
      <c r="AE262" s="384"/>
      <c r="AF262" s="384"/>
      <c r="AG262" s="384"/>
      <c r="AH262" s="385"/>
      <c r="AI262" s="383"/>
      <c r="AJ262" s="384"/>
      <c r="AK262" s="384"/>
      <c r="AL262" s="385"/>
      <c r="AM262" s="383"/>
      <c r="AN262" s="384"/>
      <c r="AO262" s="384"/>
      <c r="AP262" s="385"/>
      <c r="AQ262" s="389"/>
      <c r="AR262" s="390"/>
      <c r="AS262" s="390"/>
      <c r="AT262" s="391"/>
    </row>
    <row r="263" spans="2:48" x14ac:dyDescent="0.25">
      <c r="B263" s="395" t="s">
        <v>561</v>
      </c>
      <c r="C263" s="396"/>
      <c r="D263" s="396"/>
      <c r="E263" s="396"/>
      <c r="F263" s="396"/>
      <c r="G263" s="396"/>
      <c r="H263" s="396"/>
      <c r="I263" s="396"/>
      <c r="J263" s="397"/>
      <c r="K263" s="429">
        <v>224</v>
      </c>
      <c r="L263" s="430"/>
      <c r="M263" s="431"/>
      <c r="N263" s="429">
        <v>350</v>
      </c>
      <c r="O263" s="430"/>
      <c r="P263" s="431"/>
      <c r="Q263" s="389">
        <f t="shared" si="58"/>
        <v>0</v>
      </c>
      <c r="R263" s="390"/>
      <c r="S263" s="390"/>
      <c r="T263" s="390"/>
      <c r="U263" s="391"/>
      <c r="V263" s="432"/>
      <c r="W263" s="433"/>
      <c r="X263" s="433"/>
      <c r="Y263" s="433"/>
      <c r="Z263" s="434"/>
      <c r="AA263" s="401"/>
      <c r="AB263" s="402"/>
      <c r="AC263" s="402"/>
      <c r="AD263" s="403"/>
      <c r="AE263" s="383"/>
      <c r="AF263" s="384"/>
      <c r="AG263" s="384"/>
      <c r="AH263" s="385"/>
      <c r="AI263" s="383"/>
      <c r="AJ263" s="384"/>
      <c r="AK263" s="384"/>
      <c r="AL263" s="385"/>
      <c r="AM263" s="383"/>
      <c r="AN263" s="384"/>
      <c r="AO263" s="384"/>
      <c r="AP263" s="385"/>
      <c r="AQ263" s="389"/>
      <c r="AR263" s="390"/>
      <c r="AS263" s="390"/>
      <c r="AT263" s="391"/>
    </row>
    <row r="264" spans="2:48" ht="15.75" thickBot="1" x14ac:dyDescent="0.3">
      <c r="B264" s="395" t="s">
        <v>562</v>
      </c>
      <c r="C264" s="396"/>
      <c r="D264" s="396"/>
      <c r="E264" s="396"/>
      <c r="F264" s="396"/>
      <c r="G264" s="396"/>
      <c r="H264" s="396"/>
      <c r="I264" s="396"/>
      <c r="J264" s="397"/>
      <c r="K264" s="429">
        <v>230</v>
      </c>
      <c r="L264" s="430"/>
      <c r="M264" s="431"/>
      <c r="N264" s="429">
        <v>850</v>
      </c>
      <c r="O264" s="430"/>
      <c r="P264" s="431"/>
      <c r="Q264" s="389">
        <f t="shared" si="58"/>
        <v>170276.2</v>
      </c>
      <c r="R264" s="390"/>
      <c r="S264" s="390"/>
      <c r="T264" s="390"/>
      <c r="U264" s="391"/>
      <c r="V264" s="398">
        <f>SUM(V265:Z268)</f>
        <v>155276.20000000001</v>
      </c>
      <c r="W264" s="399"/>
      <c r="X264" s="399"/>
      <c r="Y264" s="399"/>
      <c r="Z264" s="400"/>
      <c r="AA264" s="383">
        <f>SUM(AA265:AD268)</f>
        <v>0</v>
      </c>
      <c r="AB264" s="384"/>
      <c r="AC264" s="384"/>
      <c r="AD264" s="385"/>
      <c r="AE264" s="383">
        <f>SUM(AE265:AH268)</f>
        <v>0</v>
      </c>
      <c r="AF264" s="384"/>
      <c r="AG264" s="384"/>
      <c r="AH264" s="385"/>
      <c r="AI264" s="383">
        <f>SUM(AI265:AL268)</f>
        <v>0</v>
      </c>
      <c r="AJ264" s="384"/>
      <c r="AK264" s="384"/>
      <c r="AL264" s="385"/>
      <c r="AM264" s="398">
        <f>SUM(AM265:AP268)</f>
        <v>15000</v>
      </c>
      <c r="AN264" s="399"/>
      <c r="AO264" s="399"/>
      <c r="AP264" s="400"/>
      <c r="AQ264" s="389">
        <f>SUM(AQ265:AT268)</f>
        <v>0</v>
      </c>
      <c r="AR264" s="390"/>
      <c r="AS264" s="390"/>
      <c r="AT264" s="391"/>
    </row>
    <row r="265" spans="2:48" x14ac:dyDescent="0.25">
      <c r="B265" s="414" t="s">
        <v>563</v>
      </c>
      <c r="C265" s="415"/>
      <c r="D265" s="415"/>
      <c r="E265" s="415"/>
      <c r="F265" s="415"/>
      <c r="G265" s="415"/>
      <c r="H265" s="415"/>
      <c r="I265" s="415"/>
      <c r="J265" s="416"/>
      <c r="K265" s="423">
        <v>231</v>
      </c>
      <c r="L265" s="424"/>
      <c r="M265" s="425"/>
      <c r="N265" s="423">
        <v>851</v>
      </c>
      <c r="O265" s="424"/>
      <c r="P265" s="425"/>
      <c r="Q265" s="440">
        <f t="shared" si="58"/>
        <v>155072</v>
      </c>
      <c r="R265" s="410"/>
      <c r="S265" s="410"/>
      <c r="T265" s="410"/>
      <c r="U265" s="410"/>
      <c r="V265" s="525">
        <f>F113</f>
        <v>155072</v>
      </c>
      <c r="W265" s="526"/>
      <c r="X265" s="526"/>
      <c r="Y265" s="526"/>
      <c r="Z265" s="527"/>
      <c r="AA265" s="399"/>
      <c r="AB265" s="399"/>
      <c r="AC265" s="399"/>
      <c r="AD265" s="400"/>
      <c r="AE265" s="398"/>
      <c r="AF265" s="399"/>
      <c r="AG265" s="399"/>
      <c r="AH265" s="400"/>
      <c r="AI265" s="398"/>
      <c r="AJ265" s="399"/>
      <c r="AK265" s="399"/>
      <c r="AL265" s="399"/>
      <c r="AM265" s="404">
        <f>F114</f>
        <v>0</v>
      </c>
      <c r="AN265" s="405"/>
      <c r="AO265" s="405"/>
      <c r="AP265" s="406"/>
      <c r="AQ265" s="410"/>
      <c r="AR265" s="410"/>
      <c r="AS265" s="410"/>
      <c r="AT265" s="411"/>
    </row>
    <row r="266" spans="2:48" ht="15.75" thickBot="1" x14ac:dyDescent="0.3">
      <c r="B266" s="483" t="s">
        <v>564</v>
      </c>
      <c r="C266" s="484"/>
      <c r="D266" s="484"/>
      <c r="E266" s="484"/>
      <c r="F266" s="484"/>
      <c r="G266" s="484"/>
      <c r="H266" s="484"/>
      <c r="I266" s="484"/>
      <c r="J266" s="485"/>
      <c r="K266" s="426"/>
      <c r="L266" s="427"/>
      <c r="M266" s="428"/>
      <c r="N266" s="426"/>
      <c r="O266" s="427"/>
      <c r="P266" s="428"/>
      <c r="Q266" s="441">
        <f t="shared" si="58"/>
        <v>0</v>
      </c>
      <c r="R266" s="412"/>
      <c r="S266" s="412"/>
      <c r="T266" s="412"/>
      <c r="U266" s="412"/>
      <c r="V266" s="528"/>
      <c r="W266" s="529"/>
      <c r="X266" s="529"/>
      <c r="Y266" s="529"/>
      <c r="Z266" s="530"/>
      <c r="AA266" s="402"/>
      <c r="AB266" s="402"/>
      <c r="AC266" s="402"/>
      <c r="AD266" s="403"/>
      <c r="AE266" s="401"/>
      <c r="AF266" s="402"/>
      <c r="AG266" s="402"/>
      <c r="AH266" s="403"/>
      <c r="AI266" s="401"/>
      <c r="AJ266" s="402"/>
      <c r="AK266" s="402"/>
      <c r="AL266" s="402"/>
      <c r="AM266" s="407"/>
      <c r="AN266" s="408"/>
      <c r="AO266" s="408"/>
      <c r="AP266" s="409"/>
      <c r="AQ266" s="412"/>
      <c r="AR266" s="412"/>
      <c r="AS266" s="412"/>
      <c r="AT266" s="413"/>
    </row>
    <row r="267" spans="2:48" ht="15.75" thickBot="1" x14ac:dyDescent="0.3">
      <c r="B267" s="395" t="s">
        <v>565</v>
      </c>
      <c r="C267" s="396"/>
      <c r="D267" s="396"/>
      <c r="E267" s="396"/>
      <c r="F267" s="396"/>
      <c r="G267" s="396"/>
      <c r="H267" s="396"/>
      <c r="I267" s="396"/>
      <c r="J267" s="397"/>
      <c r="K267" s="429">
        <v>232</v>
      </c>
      <c r="L267" s="430"/>
      <c r="M267" s="431"/>
      <c r="N267" s="429">
        <v>852</v>
      </c>
      <c r="O267" s="430"/>
      <c r="P267" s="431"/>
      <c r="Q267" s="389">
        <f t="shared" si="58"/>
        <v>0</v>
      </c>
      <c r="R267" s="390"/>
      <c r="S267" s="390"/>
      <c r="T267" s="390"/>
      <c r="U267" s="390"/>
      <c r="V267" s="531">
        <f>F116</f>
        <v>0</v>
      </c>
      <c r="W267" s="532"/>
      <c r="X267" s="532"/>
      <c r="Y267" s="532"/>
      <c r="Z267" s="533"/>
      <c r="AA267" s="384"/>
      <c r="AB267" s="384"/>
      <c r="AC267" s="384"/>
      <c r="AD267" s="385"/>
      <c r="AE267" s="383"/>
      <c r="AF267" s="384"/>
      <c r="AG267" s="384"/>
      <c r="AH267" s="385"/>
      <c r="AI267" s="383"/>
      <c r="AJ267" s="384"/>
      <c r="AK267" s="384"/>
      <c r="AL267" s="384"/>
      <c r="AM267" s="392">
        <f>F117</f>
        <v>0</v>
      </c>
      <c r="AN267" s="393"/>
      <c r="AO267" s="393"/>
      <c r="AP267" s="394"/>
      <c r="AQ267" s="390"/>
      <c r="AR267" s="390"/>
      <c r="AS267" s="390"/>
      <c r="AT267" s="391"/>
    </row>
    <row r="268" spans="2:48" ht="15.75" thickBot="1" x14ac:dyDescent="0.3">
      <c r="B268" s="395" t="s">
        <v>566</v>
      </c>
      <c r="C268" s="396"/>
      <c r="D268" s="396"/>
      <c r="E268" s="396"/>
      <c r="F268" s="396"/>
      <c r="G268" s="396"/>
      <c r="H268" s="396"/>
      <c r="I268" s="396"/>
      <c r="J268" s="397"/>
      <c r="K268" s="429">
        <v>233</v>
      </c>
      <c r="L268" s="430"/>
      <c r="M268" s="431"/>
      <c r="N268" s="429">
        <v>853</v>
      </c>
      <c r="O268" s="430"/>
      <c r="P268" s="431"/>
      <c r="Q268" s="440">
        <f t="shared" si="58"/>
        <v>15204.2</v>
      </c>
      <c r="R268" s="410"/>
      <c r="S268" s="410"/>
      <c r="T268" s="410"/>
      <c r="U268" s="410"/>
      <c r="V268" s="531">
        <f>F119</f>
        <v>204.2</v>
      </c>
      <c r="W268" s="532"/>
      <c r="X268" s="532"/>
      <c r="Y268" s="532"/>
      <c r="Z268" s="533"/>
      <c r="AA268" s="384"/>
      <c r="AB268" s="384"/>
      <c r="AC268" s="384"/>
      <c r="AD268" s="385"/>
      <c r="AE268" s="383"/>
      <c r="AF268" s="384"/>
      <c r="AG268" s="384"/>
      <c r="AH268" s="385"/>
      <c r="AI268" s="383"/>
      <c r="AJ268" s="384"/>
      <c r="AK268" s="384"/>
      <c r="AL268" s="384"/>
      <c r="AM268" s="392">
        <f>F120</f>
        <v>15000</v>
      </c>
      <c r="AN268" s="393"/>
      <c r="AO268" s="393"/>
      <c r="AP268" s="394"/>
      <c r="AQ268" s="390"/>
      <c r="AR268" s="390"/>
      <c r="AS268" s="390"/>
      <c r="AT268" s="391"/>
    </row>
    <row r="269" spans="2:48" ht="15.75" thickBot="1" x14ac:dyDescent="0.3">
      <c r="B269" s="395" t="s">
        <v>567</v>
      </c>
      <c r="C269" s="396"/>
      <c r="D269" s="396"/>
      <c r="E269" s="396"/>
      <c r="F269" s="396"/>
      <c r="G269" s="396"/>
      <c r="H269" s="396"/>
      <c r="I269" s="396"/>
      <c r="J269" s="397"/>
      <c r="K269" s="429">
        <v>250</v>
      </c>
      <c r="L269" s="430"/>
      <c r="M269" s="431"/>
      <c r="N269" s="429">
        <v>244</v>
      </c>
      <c r="O269" s="430"/>
      <c r="P269" s="430"/>
      <c r="Q269" s="534">
        <f>F182+F183</f>
        <v>3671200</v>
      </c>
      <c r="R269" s="535"/>
      <c r="S269" s="535"/>
      <c r="T269" s="535"/>
      <c r="U269" s="536"/>
      <c r="V269" s="537">
        <f>информ.!B12</f>
        <v>83484</v>
      </c>
      <c r="W269" s="537"/>
      <c r="X269" s="537"/>
      <c r="Y269" s="537"/>
      <c r="Z269" s="538"/>
      <c r="AA269" s="383"/>
      <c r="AB269" s="384"/>
      <c r="AC269" s="384"/>
      <c r="AD269" s="385"/>
      <c r="AE269" s="383"/>
      <c r="AF269" s="384"/>
      <c r="AG269" s="384"/>
      <c r="AH269" s="385"/>
      <c r="AI269" s="383"/>
      <c r="AJ269" s="384"/>
      <c r="AK269" s="384"/>
      <c r="AL269" s="385"/>
      <c r="AM269" s="539">
        <f>информ.!H12</f>
        <v>3587716</v>
      </c>
      <c r="AN269" s="537"/>
      <c r="AO269" s="537"/>
      <c r="AP269" s="538"/>
      <c r="AQ269" s="389"/>
      <c r="AR269" s="390"/>
      <c r="AS269" s="390"/>
      <c r="AT269" s="390"/>
      <c r="AU269" s="186">
        <f>Q269-V269-AA269-AE269-AI269-AM269</f>
        <v>0</v>
      </c>
      <c r="AV269" s="187" t="s">
        <v>598</v>
      </c>
    </row>
    <row r="270" spans="2:48" ht="15.75" thickBot="1" x14ac:dyDescent="0.3">
      <c r="B270" s="395" t="s">
        <v>102</v>
      </c>
      <c r="C270" s="396"/>
      <c r="D270" s="396"/>
      <c r="E270" s="396"/>
      <c r="F270" s="396"/>
      <c r="G270" s="396"/>
      <c r="H270" s="396"/>
      <c r="I270" s="396"/>
      <c r="J270" s="397"/>
      <c r="K270" s="429">
        <v>260</v>
      </c>
      <c r="L270" s="430"/>
      <c r="M270" s="431"/>
      <c r="N270" s="507" t="s">
        <v>26</v>
      </c>
      <c r="O270" s="508"/>
      <c r="P270" s="509"/>
      <c r="Q270" s="441">
        <f>SUM(V270:AT270)</f>
        <v>1829160.3099999996</v>
      </c>
      <c r="R270" s="412"/>
      <c r="S270" s="412"/>
      <c r="T270" s="412"/>
      <c r="U270" s="413"/>
      <c r="V270" s="398">
        <f>V271+V273+V274</f>
        <v>347402.22000000003</v>
      </c>
      <c r="W270" s="399"/>
      <c r="X270" s="399"/>
      <c r="Y270" s="399"/>
      <c r="Z270" s="400"/>
      <c r="AA270" s="398">
        <f>AA271+AA273+AA274</f>
        <v>26230.32</v>
      </c>
      <c r="AB270" s="399"/>
      <c r="AC270" s="399"/>
      <c r="AD270" s="400"/>
      <c r="AE270" s="383">
        <f t="shared" ref="AE270" si="60">AE271+AE273+AE274</f>
        <v>0</v>
      </c>
      <c r="AF270" s="384"/>
      <c r="AG270" s="384"/>
      <c r="AH270" s="385"/>
      <c r="AI270" s="383">
        <f t="shared" ref="AI270" si="61">AI271+AI273+AI274</f>
        <v>0</v>
      </c>
      <c r="AJ270" s="384"/>
      <c r="AK270" s="384"/>
      <c r="AL270" s="385"/>
      <c r="AM270" s="398">
        <f>AM271+AM273+AM274</f>
        <v>1455527.7699999996</v>
      </c>
      <c r="AN270" s="399"/>
      <c r="AO270" s="399"/>
      <c r="AP270" s="400"/>
      <c r="AQ270" s="389">
        <f t="shared" ref="AQ270" si="62">AQ271+AQ273+AQ274</f>
        <v>0</v>
      </c>
      <c r="AR270" s="390"/>
      <c r="AS270" s="390"/>
      <c r="AT270" s="391"/>
    </row>
    <row r="271" spans="2:48" x14ac:dyDescent="0.25">
      <c r="B271" s="414" t="s">
        <v>563</v>
      </c>
      <c r="C271" s="415"/>
      <c r="D271" s="415"/>
      <c r="E271" s="415"/>
      <c r="F271" s="415"/>
      <c r="G271" s="415"/>
      <c r="H271" s="415"/>
      <c r="I271" s="415"/>
      <c r="J271" s="416"/>
      <c r="K271" s="423">
        <v>261</v>
      </c>
      <c r="L271" s="424"/>
      <c r="M271" s="425"/>
      <c r="N271" s="423">
        <v>241</v>
      </c>
      <c r="O271" s="424"/>
      <c r="P271" s="425"/>
      <c r="Q271" s="440">
        <f>SUM(V271:AT271)</f>
        <v>0</v>
      </c>
      <c r="R271" s="410"/>
      <c r="S271" s="410"/>
      <c r="T271" s="410"/>
      <c r="U271" s="410"/>
      <c r="V271" s="404">
        <f>F140</f>
        <v>0</v>
      </c>
      <c r="W271" s="405"/>
      <c r="X271" s="405"/>
      <c r="Y271" s="405"/>
      <c r="Z271" s="406"/>
      <c r="AA271" s="404">
        <f>F142</f>
        <v>0</v>
      </c>
      <c r="AB271" s="405"/>
      <c r="AC271" s="405"/>
      <c r="AD271" s="406"/>
      <c r="AE271" s="399"/>
      <c r="AF271" s="399"/>
      <c r="AG271" s="399"/>
      <c r="AH271" s="400"/>
      <c r="AI271" s="398"/>
      <c r="AJ271" s="399"/>
      <c r="AK271" s="399"/>
      <c r="AL271" s="399"/>
      <c r="AM271" s="404">
        <f>F141</f>
        <v>0</v>
      </c>
      <c r="AN271" s="405"/>
      <c r="AO271" s="405"/>
      <c r="AP271" s="406"/>
      <c r="AQ271" s="410"/>
      <c r="AR271" s="410"/>
      <c r="AS271" s="410"/>
      <c r="AT271" s="411"/>
    </row>
    <row r="272" spans="2:48" ht="15.75" thickBot="1" x14ac:dyDescent="0.3">
      <c r="B272" s="483" t="s">
        <v>568</v>
      </c>
      <c r="C272" s="484"/>
      <c r="D272" s="484"/>
      <c r="E272" s="484"/>
      <c r="F272" s="484"/>
      <c r="G272" s="484"/>
      <c r="H272" s="484"/>
      <c r="I272" s="484"/>
      <c r="J272" s="485"/>
      <c r="K272" s="540"/>
      <c r="L272" s="541"/>
      <c r="M272" s="542"/>
      <c r="N272" s="540"/>
      <c r="O272" s="541"/>
      <c r="P272" s="542"/>
      <c r="Q272" s="543"/>
      <c r="R272" s="435"/>
      <c r="S272" s="435"/>
      <c r="T272" s="435"/>
      <c r="U272" s="435"/>
      <c r="V272" s="407"/>
      <c r="W272" s="408"/>
      <c r="X272" s="408"/>
      <c r="Y272" s="408"/>
      <c r="Z272" s="409"/>
      <c r="AA272" s="407"/>
      <c r="AB272" s="408"/>
      <c r="AC272" s="408"/>
      <c r="AD272" s="409"/>
      <c r="AE272" s="387"/>
      <c r="AF272" s="387"/>
      <c r="AG272" s="387"/>
      <c r="AH272" s="388"/>
      <c r="AI272" s="386"/>
      <c r="AJ272" s="387"/>
      <c r="AK272" s="387"/>
      <c r="AL272" s="387"/>
      <c r="AM272" s="407"/>
      <c r="AN272" s="408"/>
      <c r="AO272" s="408"/>
      <c r="AP272" s="409"/>
      <c r="AQ272" s="435"/>
      <c r="AR272" s="435"/>
      <c r="AS272" s="435"/>
      <c r="AT272" s="436"/>
    </row>
    <row r="273" spans="2:46" ht="15.75" thickBot="1" x14ac:dyDescent="0.3">
      <c r="B273" s="483" t="s">
        <v>569</v>
      </c>
      <c r="C273" s="484"/>
      <c r="D273" s="484"/>
      <c r="E273" s="484"/>
      <c r="F273" s="484"/>
      <c r="G273" s="484"/>
      <c r="H273" s="484"/>
      <c r="I273" s="484"/>
      <c r="J273" s="485"/>
      <c r="K273" s="479">
        <v>262</v>
      </c>
      <c r="L273" s="479"/>
      <c r="M273" s="479"/>
      <c r="N273" s="429">
        <v>243</v>
      </c>
      <c r="O273" s="430"/>
      <c r="P273" s="431"/>
      <c r="Q273" s="389">
        <f t="shared" ref="Q273:Q284" si="63">SUM(V273:AT273)</f>
        <v>0</v>
      </c>
      <c r="R273" s="390"/>
      <c r="S273" s="390"/>
      <c r="T273" s="390"/>
      <c r="U273" s="391"/>
      <c r="V273" s="386"/>
      <c r="W273" s="387"/>
      <c r="X273" s="387"/>
      <c r="Y273" s="387"/>
      <c r="Z273" s="387"/>
      <c r="AA273" s="392">
        <f>F145</f>
        <v>0</v>
      </c>
      <c r="AB273" s="393"/>
      <c r="AC273" s="393"/>
      <c r="AD273" s="394"/>
      <c r="AE273" s="384"/>
      <c r="AF273" s="384"/>
      <c r="AG273" s="384"/>
      <c r="AH273" s="385"/>
      <c r="AI273" s="383"/>
      <c r="AJ273" s="384"/>
      <c r="AK273" s="384"/>
      <c r="AL273" s="385"/>
      <c r="AM273" s="386"/>
      <c r="AN273" s="387"/>
      <c r="AO273" s="387"/>
      <c r="AP273" s="388"/>
      <c r="AQ273" s="389"/>
      <c r="AR273" s="390"/>
      <c r="AS273" s="390"/>
      <c r="AT273" s="391"/>
    </row>
    <row r="274" spans="2:46" ht="15.75" thickBot="1" x14ac:dyDescent="0.3">
      <c r="B274" s="483" t="s">
        <v>570</v>
      </c>
      <c r="C274" s="484"/>
      <c r="D274" s="484"/>
      <c r="E274" s="484"/>
      <c r="F274" s="484"/>
      <c r="G274" s="484"/>
      <c r="H274" s="484"/>
      <c r="I274" s="484"/>
      <c r="J274" s="485"/>
      <c r="K274" s="429">
        <v>263</v>
      </c>
      <c r="L274" s="430"/>
      <c r="M274" s="431"/>
      <c r="N274" s="429">
        <v>244</v>
      </c>
      <c r="O274" s="430"/>
      <c r="P274" s="431"/>
      <c r="Q274" s="389">
        <f t="shared" si="63"/>
        <v>1829160.3099999996</v>
      </c>
      <c r="R274" s="390"/>
      <c r="S274" s="390"/>
      <c r="T274" s="390"/>
      <c r="U274" s="390"/>
      <c r="V274" s="392">
        <f>F147-V269</f>
        <v>347402.22000000003</v>
      </c>
      <c r="W274" s="393"/>
      <c r="X274" s="393"/>
      <c r="Y274" s="393"/>
      <c r="Z274" s="394"/>
      <c r="AA274" s="392">
        <f>F155</f>
        <v>26230.32</v>
      </c>
      <c r="AB274" s="393"/>
      <c r="AC274" s="393"/>
      <c r="AD274" s="394"/>
      <c r="AE274" s="384"/>
      <c r="AF274" s="384"/>
      <c r="AG274" s="384"/>
      <c r="AH274" s="385"/>
      <c r="AI274" s="383"/>
      <c r="AJ274" s="384"/>
      <c r="AK274" s="384"/>
      <c r="AL274" s="384"/>
      <c r="AM274" s="392">
        <f>F151-AM269</f>
        <v>1455527.7699999996</v>
      </c>
      <c r="AN274" s="393"/>
      <c r="AO274" s="393"/>
      <c r="AP274" s="394"/>
      <c r="AQ274" s="390"/>
      <c r="AR274" s="390"/>
      <c r="AS274" s="390"/>
      <c r="AT274" s="391"/>
    </row>
    <row r="275" spans="2:46" ht="15.75" thickBot="1" x14ac:dyDescent="0.3">
      <c r="B275" s="395" t="s">
        <v>571</v>
      </c>
      <c r="C275" s="396"/>
      <c r="D275" s="396"/>
      <c r="E275" s="396"/>
      <c r="F275" s="396"/>
      <c r="G275" s="396"/>
      <c r="H275" s="396"/>
      <c r="I275" s="396"/>
      <c r="J275" s="397"/>
      <c r="K275" s="429">
        <v>270</v>
      </c>
      <c r="L275" s="430"/>
      <c r="M275" s="431"/>
      <c r="N275" s="429">
        <v>830</v>
      </c>
      <c r="O275" s="430"/>
      <c r="P275" s="431"/>
      <c r="Q275" s="389">
        <f t="shared" si="63"/>
        <v>0</v>
      </c>
      <c r="R275" s="390"/>
      <c r="S275" s="390"/>
      <c r="T275" s="390"/>
      <c r="U275" s="391"/>
      <c r="V275" s="386">
        <f>V276</f>
        <v>0</v>
      </c>
      <c r="W275" s="387"/>
      <c r="X275" s="387"/>
      <c r="Y275" s="387"/>
      <c r="Z275" s="388"/>
      <c r="AA275" s="401">
        <f>AA276</f>
        <v>0</v>
      </c>
      <c r="AB275" s="402"/>
      <c r="AC275" s="402"/>
      <c r="AD275" s="403"/>
      <c r="AE275" s="383">
        <f>AE276</f>
        <v>0</v>
      </c>
      <c r="AF275" s="384"/>
      <c r="AG275" s="384"/>
      <c r="AH275" s="385"/>
      <c r="AI275" s="383">
        <f>AI276</f>
        <v>0</v>
      </c>
      <c r="AJ275" s="384"/>
      <c r="AK275" s="384"/>
      <c r="AL275" s="385"/>
      <c r="AM275" s="386">
        <f>AM276</f>
        <v>0</v>
      </c>
      <c r="AN275" s="387"/>
      <c r="AO275" s="387"/>
      <c r="AP275" s="388"/>
      <c r="AQ275" s="389">
        <f>AQ276</f>
        <v>0</v>
      </c>
      <c r="AR275" s="390"/>
      <c r="AS275" s="390"/>
      <c r="AT275" s="391"/>
    </row>
    <row r="276" spans="2:46" x14ac:dyDescent="0.25">
      <c r="B276" s="414" t="s">
        <v>563</v>
      </c>
      <c r="C276" s="415"/>
      <c r="D276" s="415"/>
      <c r="E276" s="415"/>
      <c r="F276" s="415"/>
      <c r="G276" s="415"/>
      <c r="H276" s="415"/>
      <c r="I276" s="415"/>
      <c r="J276" s="416"/>
      <c r="K276" s="423">
        <v>271</v>
      </c>
      <c r="L276" s="424"/>
      <c r="M276" s="425"/>
      <c r="N276" s="423">
        <v>831</v>
      </c>
      <c r="O276" s="424"/>
      <c r="P276" s="425"/>
      <c r="Q276" s="440">
        <f t="shared" si="63"/>
        <v>0</v>
      </c>
      <c r="R276" s="410"/>
      <c r="S276" s="410"/>
      <c r="T276" s="410"/>
      <c r="U276" s="410"/>
      <c r="V276" s="525">
        <f>F136</f>
        <v>0</v>
      </c>
      <c r="W276" s="526"/>
      <c r="X276" s="526"/>
      <c r="Y276" s="526"/>
      <c r="Z276" s="527"/>
      <c r="AA276" s="399"/>
      <c r="AB276" s="399"/>
      <c r="AC276" s="399"/>
      <c r="AD276" s="400"/>
      <c r="AE276" s="398"/>
      <c r="AF276" s="399"/>
      <c r="AG276" s="399"/>
      <c r="AH276" s="400"/>
      <c r="AI276" s="398"/>
      <c r="AJ276" s="399"/>
      <c r="AK276" s="399"/>
      <c r="AL276" s="399"/>
      <c r="AM276" s="404">
        <f>F137</f>
        <v>0</v>
      </c>
      <c r="AN276" s="405"/>
      <c r="AO276" s="405"/>
      <c r="AP276" s="406"/>
      <c r="AQ276" s="410"/>
      <c r="AR276" s="410"/>
      <c r="AS276" s="410"/>
      <c r="AT276" s="411"/>
    </row>
    <row r="277" spans="2:46" ht="15.75" thickBot="1" x14ac:dyDescent="0.3">
      <c r="B277" s="442" t="s">
        <v>572</v>
      </c>
      <c r="C277" s="443"/>
      <c r="D277" s="443"/>
      <c r="E277" s="443"/>
      <c r="F277" s="443"/>
      <c r="G277" s="443"/>
      <c r="H277" s="443"/>
      <c r="I277" s="443"/>
      <c r="J277" s="444"/>
      <c r="K277" s="426"/>
      <c r="L277" s="427"/>
      <c r="M277" s="428"/>
      <c r="N277" s="426"/>
      <c r="O277" s="427"/>
      <c r="P277" s="428"/>
      <c r="Q277" s="441">
        <f t="shared" si="63"/>
        <v>0</v>
      </c>
      <c r="R277" s="412"/>
      <c r="S277" s="412"/>
      <c r="T277" s="412"/>
      <c r="U277" s="412"/>
      <c r="V277" s="528"/>
      <c r="W277" s="529"/>
      <c r="X277" s="529"/>
      <c r="Y277" s="529"/>
      <c r="Z277" s="530"/>
      <c r="AA277" s="402"/>
      <c r="AB277" s="402"/>
      <c r="AC277" s="402"/>
      <c r="AD277" s="403"/>
      <c r="AE277" s="401"/>
      <c r="AF277" s="402"/>
      <c r="AG277" s="402"/>
      <c r="AH277" s="403"/>
      <c r="AI277" s="401"/>
      <c r="AJ277" s="402"/>
      <c r="AK277" s="402"/>
      <c r="AL277" s="402"/>
      <c r="AM277" s="407"/>
      <c r="AN277" s="408"/>
      <c r="AO277" s="408"/>
      <c r="AP277" s="409"/>
      <c r="AQ277" s="412"/>
      <c r="AR277" s="412"/>
      <c r="AS277" s="412"/>
      <c r="AT277" s="413"/>
    </row>
    <row r="278" spans="2:46" ht="15.75" thickBot="1" x14ac:dyDescent="0.3">
      <c r="B278" s="437" t="s">
        <v>110</v>
      </c>
      <c r="C278" s="438"/>
      <c r="D278" s="438"/>
      <c r="E278" s="438"/>
      <c r="F278" s="438"/>
      <c r="G278" s="438"/>
      <c r="H278" s="438"/>
      <c r="I278" s="438"/>
      <c r="J278" s="439"/>
      <c r="K278" s="429">
        <v>280</v>
      </c>
      <c r="L278" s="430"/>
      <c r="M278" s="431"/>
      <c r="N278" s="429">
        <v>400</v>
      </c>
      <c r="O278" s="430"/>
      <c r="P278" s="431"/>
      <c r="Q278" s="389">
        <f t="shared" si="63"/>
        <v>0</v>
      </c>
      <c r="R278" s="390"/>
      <c r="S278" s="390"/>
      <c r="T278" s="390"/>
      <c r="U278" s="391"/>
      <c r="V278" s="401">
        <f>V279</f>
        <v>0</v>
      </c>
      <c r="W278" s="402"/>
      <c r="X278" s="402"/>
      <c r="Y278" s="402"/>
      <c r="Z278" s="403"/>
      <c r="AA278" s="383">
        <f>AA279</f>
        <v>0</v>
      </c>
      <c r="AB278" s="384"/>
      <c r="AC278" s="384"/>
      <c r="AD278" s="385"/>
      <c r="AE278" s="398">
        <f>AE279</f>
        <v>0</v>
      </c>
      <c r="AF278" s="399"/>
      <c r="AG278" s="399"/>
      <c r="AH278" s="400"/>
      <c r="AI278" s="383">
        <f>AI279</f>
        <v>0</v>
      </c>
      <c r="AJ278" s="384"/>
      <c r="AK278" s="384"/>
      <c r="AL278" s="385"/>
      <c r="AM278" s="401">
        <f>AM279</f>
        <v>0</v>
      </c>
      <c r="AN278" s="402"/>
      <c r="AO278" s="402"/>
      <c r="AP278" s="403"/>
      <c r="AQ278" s="389">
        <f>AQ279</f>
        <v>0</v>
      </c>
      <c r="AR278" s="390"/>
      <c r="AS278" s="390"/>
      <c r="AT278" s="391"/>
    </row>
    <row r="279" spans="2:46" x14ac:dyDescent="0.25">
      <c r="B279" s="454" t="s">
        <v>573</v>
      </c>
      <c r="C279" s="455"/>
      <c r="D279" s="455"/>
      <c r="E279" s="455"/>
      <c r="F279" s="455"/>
      <c r="G279" s="455"/>
      <c r="H279" s="455"/>
      <c r="I279" s="455"/>
      <c r="J279" s="456"/>
      <c r="K279" s="423">
        <v>281</v>
      </c>
      <c r="L279" s="424"/>
      <c r="M279" s="425"/>
      <c r="N279" s="423">
        <v>406</v>
      </c>
      <c r="O279" s="424"/>
      <c r="P279" s="425"/>
      <c r="Q279" s="440">
        <f t="shared" si="63"/>
        <v>0</v>
      </c>
      <c r="R279" s="410"/>
      <c r="S279" s="410"/>
      <c r="T279" s="410"/>
      <c r="U279" s="411"/>
      <c r="V279" s="448"/>
      <c r="W279" s="449"/>
      <c r="X279" s="449"/>
      <c r="Y279" s="449"/>
      <c r="Z279" s="450"/>
      <c r="AA279" s="398"/>
      <c r="AB279" s="399"/>
      <c r="AC279" s="399"/>
      <c r="AD279" s="399"/>
      <c r="AE279" s="404">
        <f>F161</f>
        <v>0</v>
      </c>
      <c r="AF279" s="405"/>
      <c r="AG279" s="405"/>
      <c r="AH279" s="406"/>
      <c r="AI279" s="399"/>
      <c r="AJ279" s="399"/>
      <c r="AK279" s="399"/>
      <c r="AL279" s="400"/>
      <c r="AM279" s="398"/>
      <c r="AN279" s="399"/>
      <c r="AO279" s="399"/>
      <c r="AP279" s="400"/>
      <c r="AQ279" s="440"/>
      <c r="AR279" s="410"/>
      <c r="AS279" s="410"/>
      <c r="AT279" s="411"/>
    </row>
    <row r="280" spans="2:46" ht="15.75" thickBot="1" x14ac:dyDescent="0.3">
      <c r="B280" s="445" t="s">
        <v>574</v>
      </c>
      <c r="C280" s="446"/>
      <c r="D280" s="446"/>
      <c r="E280" s="446"/>
      <c r="F280" s="446"/>
      <c r="G280" s="446"/>
      <c r="H280" s="446"/>
      <c r="I280" s="446"/>
      <c r="J280" s="447"/>
      <c r="K280" s="426"/>
      <c r="L280" s="427"/>
      <c r="M280" s="428"/>
      <c r="N280" s="426"/>
      <c r="O280" s="427"/>
      <c r="P280" s="428"/>
      <c r="Q280" s="441">
        <f t="shared" si="63"/>
        <v>0</v>
      </c>
      <c r="R280" s="412"/>
      <c r="S280" s="412"/>
      <c r="T280" s="412"/>
      <c r="U280" s="413"/>
      <c r="V280" s="451"/>
      <c r="W280" s="452"/>
      <c r="X280" s="452"/>
      <c r="Y280" s="452"/>
      <c r="Z280" s="453"/>
      <c r="AA280" s="401"/>
      <c r="AB280" s="402"/>
      <c r="AC280" s="402"/>
      <c r="AD280" s="402"/>
      <c r="AE280" s="407"/>
      <c r="AF280" s="408"/>
      <c r="AG280" s="408"/>
      <c r="AH280" s="409"/>
      <c r="AI280" s="402"/>
      <c r="AJ280" s="402"/>
      <c r="AK280" s="402"/>
      <c r="AL280" s="403"/>
      <c r="AM280" s="401"/>
      <c r="AN280" s="402"/>
      <c r="AO280" s="402"/>
      <c r="AP280" s="403"/>
      <c r="AQ280" s="441"/>
      <c r="AR280" s="412"/>
      <c r="AS280" s="412"/>
      <c r="AT280" s="413"/>
    </row>
    <row r="281" spans="2:46" x14ac:dyDescent="0.25">
      <c r="B281" s="460" t="s">
        <v>575</v>
      </c>
      <c r="C281" s="461"/>
      <c r="D281" s="461"/>
      <c r="E281" s="461"/>
      <c r="F281" s="461"/>
      <c r="G281" s="461"/>
      <c r="H281" s="461"/>
      <c r="I281" s="461"/>
      <c r="J281" s="462"/>
      <c r="K281" s="424">
        <v>300</v>
      </c>
      <c r="L281" s="424"/>
      <c r="M281" s="425"/>
      <c r="N281" s="417" t="s">
        <v>26</v>
      </c>
      <c r="O281" s="418"/>
      <c r="P281" s="419"/>
      <c r="Q281" s="440">
        <f t="shared" si="63"/>
        <v>0</v>
      </c>
      <c r="R281" s="410"/>
      <c r="S281" s="410"/>
      <c r="T281" s="410"/>
      <c r="U281" s="411"/>
      <c r="V281" s="448">
        <f>SUM(V283:Z284)</f>
        <v>0</v>
      </c>
      <c r="W281" s="449"/>
      <c r="X281" s="449"/>
      <c r="Y281" s="449"/>
      <c r="Z281" s="450"/>
      <c r="AA281" s="398">
        <f t="shared" ref="AA281" si="64">SUM(AA283:AE284)</f>
        <v>0</v>
      </c>
      <c r="AB281" s="399"/>
      <c r="AC281" s="399"/>
      <c r="AD281" s="400"/>
      <c r="AE281" s="386">
        <f t="shared" ref="AE281" si="65">SUM(AE283:AI284)</f>
        <v>0</v>
      </c>
      <c r="AF281" s="387"/>
      <c r="AG281" s="387"/>
      <c r="AH281" s="388"/>
      <c r="AI281" s="398">
        <f t="shared" ref="AI281" si="66">SUM(AI283:AM284)</f>
        <v>0</v>
      </c>
      <c r="AJ281" s="399"/>
      <c r="AK281" s="399"/>
      <c r="AL281" s="400"/>
      <c r="AM281" s="398">
        <f t="shared" ref="AM281" si="67">SUM(AM283:AQ284)</f>
        <v>0</v>
      </c>
      <c r="AN281" s="399"/>
      <c r="AO281" s="399"/>
      <c r="AP281" s="400"/>
      <c r="AQ281" s="440">
        <f t="shared" ref="AQ281" si="68">SUM(AQ283:AU284)</f>
        <v>0</v>
      </c>
      <c r="AR281" s="410"/>
      <c r="AS281" s="410"/>
      <c r="AT281" s="411"/>
    </row>
    <row r="282" spans="2:46" x14ac:dyDescent="0.25">
      <c r="B282" s="463" t="s">
        <v>576</v>
      </c>
      <c r="C282" s="464"/>
      <c r="D282" s="464"/>
      <c r="E282" s="464"/>
      <c r="F282" s="464"/>
      <c r="G282" s="464"/>
      <c r="H282" s="464"/>
      <c r="I282" s="464"/>
      <c r="J282" s="465"/>
      <c r="K282" s="427"/>
      <c r="L282" s="427"/>
      <c r="M282" s="428"/>
      <c r="N282" s="420"/>
      <c r="O282" s="421"/>
      <c r="P282" s="422"/>
      <c r="Q282" s="441">
        <f t="shared" si="63"/>
        <v>0</v>
      </c>
      <c r="R282" s="412"/>
      <c r="S282" s="412"/>
      <c r="T282" s="412"/>
      <c r="U282" s="413"/>
      <c r="V282" s="451"/>
      <c r="W282" s="452"/>
      <c r="X282" s="452"/>
      <c r="Y282" s="452"/>
      <c r="Z282" s="453"/>
      <c r="AA282" s="401"/>
      <c r="AB282" s="402"/>
      <c r="AC282" s="402"/>
      <c r="AD282" s="403"/>
      <c r="AE282" s="401"/>
      <c r="AF282" s="402"/>
      <c r="AG282" s="402"/>
      <c r="AH282" s="403"/>
      <c r="AI282" s="401"/>
      <c r="AJ282" s="402"/>
      <c r="AK282" s="402"/>
      <c r="AL282" s="403"/>
      <c r="AM282" s="401"/>
      <c r="AN282" s="402"/>
      <c r="AO282" s="402"/>
      <c r="AP282" s="403"/>
      <c r="AQ282" s="441"/>
      <c r="AR282" s="412"/>
      <c r="AS282" s="412"/>
      <c r="AT282" s="413"/>
    </row>
    <row r="283" spans="2:46" x14ac:dyDescent="0.25">
      <c r="B283" s="463" t="s">
        <v>577</v>
      </c>
      <c r="C283" s="464"/>
      <c r="D283" s="464"/>
      <c r="E283" s="464"/>
      <c r="F283" s="464"/>
      <c r="G283" s="464"/>
      <c r="H283" s="464"/>
      <c r="I283" s="464"/>
      <c r="J283" s="465"/>
      <c r="K283" s="429">
        <v>310</v>
      </c>
      <c r="L283" s="430"/>
      <c r="M283" s="431"/>
      <c r="N283" s="429"/>
      <c r="O283" s="430"/>
      <c r="P283" s="431"/>
      <c r="Q283" s="389">
        <f t="shared" si="63"/>
        <v>0</v>
      </c>
      <c r="R283" s="390"/>
      <c r="S283" s="390"/>
      <c r="T283" s="390"/>
      <c r="U283" s="391"/>
      <c r="V283" s="383"/>
      <c r="W283" s="384"/>
      <c r="X283" s="384"/>
      <c r="Y283" s="384"/>
      <c r="Z283" s="385"/>
      <c r="AA283" s="383"/>
      <c r="AB283" s="384"/>
      <c r="AC283" s="384"/>
      <c r="AD283" s="385"/>
      <c r="AE283" s="383"/>
      <c r="AF283" s="384"/>
      <c r="AG283" s="384"/>
      <c r="AH283" s="385"/>
      <c r="AI283" s="383"/>
      <c r="AJ283" s="384"/>
      <c r="AK283" s="384"/>
      <c r="AL283" s="385"/>
      <c r="AM283" s="383"/>
      <c r="AN283" s="384"/>
      <c r="AO283" s="384"/>
      <c r="AP283" s="385"/>
      <c r="AQ283" s="389"/>
      <c r="AR283" s="390"/>
      <c r="AS283" s="390"/>
      <c r="AT283" s="391"/>
    </row>
    <row r="284" spans="2:46" x14ac:dyDescent="0.25">
      <c r="B284" s="457" t="s">
        <v>578</v>
      </c>
      <c r="C284" s="458"/>
      <c r="D284" s="458"/>
      <c r="E284" s="458"/>
      <c r="F284" s="458"/>
      <c r="G284" s="458"/>
      <c r="H284" s="458"/>
      <c r="I284" s="458"/>
      <c r="J284" s="459"/>
      <c r="K284" s="429">
        <v>320</v>
      </c>
      <c r="L284" s="430"/>
      <c r="M284" s="431"/>
      <c r="N284" s="429"/>
      <c r="O284" s="430"/>
      <c r="P284" s="431"/>
      <c r="Q284" s="389">
        <f t="shared" si="63"/>
        <v>0</v>
      </c>
      <c r="R284" s="390"/>
      <c r="S284" s="390"/>
      <c r="T284" s="390"/>
      <c r="U284" s="391"/>
      <c r="V284" s="383"/>
      <c r="W284" s="384"/>
      <c r="X284" s="384"/>
      <c r="Y284" s="384"/>
      <c r="Z284" s="385"/>
      <c r="AA284" s="383"/>
      <c r="AB284" s="384"/>
      <c r="AC284" s="384"/>
      <c r="AD284" s="385"/>
      <c r="AE284" s="383"/>
      <c r="AF284" s="384"/>
      <c r="AG284" s="384"/>
      <c r="AH284" s="385"/>
      <c r="AI284" s="383"/>
      <c r="AJ284" s="384"/>
      <c r="AK284" s="384"/>
      <c r="AL284" s="385"/>
      <c r="AM284" s="383"/>
      <c r="AN284" s="384"/>
      <c r="AO284" s="384"/>
      <c r="AP284" s="385"/>
      <c r="AQ284" s="389"/>
      <c r="AR284" s="390"/>
      <c r="AS284" s="390"/>
      <c r="AT284" s="391"/>
    </row>
    <row r="285" spans="2:46" x14ac:dyDescent="0.25">
      <c r="B285" s="460" t="s">
        <v>579</v>
      </c>
      <c r="C285" s="461"/>
      <c r="D285" s="461"/>
      <c r="E285" s="461"/>
      <c r="F285" s="461"/>
      <c r="G285" s="461"/>
      <c r="H285" s="461"/>
      <c r="I285" s="461"/>
      <c r="J285" s="462"/>
      <c r="K285" s="424">
        <v>400</v>
      </c>
      <c r="L285" s="424"/>
      <c r="M285" s="425"/>
      <c r="N285" s="417" t="s">
        <v>26</v>
      </c>
      <c r="O285" s="418"/>
      <c r="P285" s="419"/>
      <c r="Q285" s="440">
        <f>SUM(V285:AT285)</f>
        <v>0</v>
      </c>
      <c r="R285" s="410"/>
      <c r="S285" s="410"/>
      <c r="T285" s="410"/>
      <c r="U285" s="411"/>
      <c r="V285" s="448">
        <f>SUM(V287:Z288)</f>
        <v>0</v>
      </c>
      <c r="W285" s="449"/>
      <c r="X285" s="449"/>
      <c r="Y285" s="449"/>
      <c r="Z285" s="450"/>
      <c r="AA285" s="398">
        <f t="shared" ref="AA285" si="69">SUM(AA287:AE288)</f>
        <v>0</v>
      </c>
      <c r="AB285" s="399"/>
      <c r="AC285" s="399"/>
      <c r="AD285" s="400"/>
      <c r="AE285" s="398">
        <f t="shared" ref="AE285" si="70">SUM(AE287:AI288)</f>
        <v>0</v>
      </c>
      <c r="AF285" s="399"/>
      <c r="AG285" s="399"/>
      <c r="AH285" s="400"/>
      <c r="AI285" s="398">
        <f t="shared" ref="AI285" si="71">SUM(AI287:AM288)</f>
        <v>0</v>
      </c>
      <c r="AJ285" s="399"/>
      <c r="AK285" s="399"/>
      <c r="AL285" s="400"/>
      <c r="AM285" s="398">
        <f t="shared" ref="AM285" si="72">SUM(AM287:AQ288)</f>
        <v>0</v>
      </c>
      <c r="AN285" s="399"/>
      <c r="AO285" s="399"/>
      <c r="AP285" s="400"/>
      <c r="AQ285" s="440">
        <f t="shared" ref="AQ285" si="73">SUM(AQ287:AU288)</f>
        <v>0</v>
      </c>
      <c r="AR285" s="410"/>
      <c r="AS285" s="410"/>
      <c r="AT285" s="411"/>
    </row>
    <row r="286" spans="2:46" x14ac:dyDescent="0.25">
      <c r="B286" s="463" t="s">
        <v>576</v>
      </c>
      <c r="C286" s="464"/>
      <c r="D286" s="464"/>
      <c r="E286" s="464"/>
      <c r="F286" s="464"/>
      <c r="G286" s="464"/>
      <c r="H286" s="464"/>
      <c r="I286" s="464"/>
      <c r="J286" s="465"/>
      <c r="K286" s="427"/>
      <c r="L286" s="427"/>
      <c r="M286" s="428"/>
      <c r="N286" s="420"/>
      <c r="O286" s="421"/>
      <c r="P286" s="422"/>
      <c r="Q286" s="441">
        <f>SUM(V286:AT286)</f>
        <v>0</v>
      </c>
      <c r="R286" s="412"/>
      <c r="S286" s="412"/>
      <c r="T286" s="412"/>
      <c r="U286" s="413"/>
      <c r="V286" s="451"/>
      <c r="W286" s="452"/>
      <c r="X286" s="452"/>
      <c r="Y286" s="452"/>
      <c r="Z286" s="453"/>
      <c r="AA286" s="401"/>
      <c r="AB286" s="402"/>
      <c r="AC286" s="402"/>
      <c r="AD286" s="403"/>
      <c r="AE286" s="401"/>
      <c r="AF286" s="402"/>
      <c r="AG286" s="402"/>
      <c r="AH286" s="403"/>
      <c r="AI286" s="401"/>
      <c r="AJ286" s="402"/>
      <c r="AK286" s="402"/>
      <c r="AL286" s="403"/>
      <c r="AM286" s="401"/>
      <c r="AN286" s="402"/>
      <c r="AO286" s="402"/>
      <c r="AP286" s="403"/>
      <c r="AQ286" s="441"/>
      <c r="AR286" s="412"/>
      <c r="AS286" s="412"/>
      <c r="AT286" s="413"/>
    </row>
    <row r="287" spans="2:46" x14ac:dyDescent="0.25">
      <c r="B287" s="463" t="s">
        <v>580</v>
      </c>
      <c r="C287" s="464"/>
      <c r="D287" s="464"/>
      <c r="E287" s="464"/>
      <c r="F287" s="464"/>
      <c r="G287" s="464"/>
      <c r="H287" s="464"/>
      <c r="I287" s="464"/>
      <c r="J287" s="465"/>
      <c r="K287" s="429">
        <v>410</v>
      </c>
      <c r="L287" s="430"/>
      <c r="M287" s="431"/>
      <c r="N287" s="429"/>
      <c r="O287" s="430"/>
      <c r="P287" s="431"/>
      <c r="Q287" s="389">
        <f t="shared" ref="Q287:Q288" si="74">SUM(V287:AT287)</f>
        <v>0</v>
      </c>
      <c r="R287" s="390"/>
      <c r="S287" s="390"/>
      <c r="T287" s="390"/>
      <c r="U287" s="391"/>
      <c r="V287" s="383"/>
      <c r="W287" s="384"/>
      <c r="X287" s="384"/>
      <c r="Y287" s="384"/>
      <c r="Z287" s="385"/>
      <c r="AA287" s="383"/>
      <c r="AB287" s="384"/>
      <c r="AC287" s="384"/>
      <c r="AD287" s="385"/>
      <c r="AE287" s="383"/>
      <c r="AF287" s="384"/>
      <c r="AG287" s="384"/>
      <c r="AH287" s="385"/>
      <c r="AI287" s="383"/>
      <c r="AJ287" s="384"/>
      <c r="AK287" s="384"/>
      <c r="AL287" s="385"/>
      <c r="AM287" s="383"/>
      <c r="AN287" s="384"/>
      <c r="AO287" s="384"/>
      <c r="AP287" s="385"/>
      <c r="AQ287" s="389"/>
      <c r="AR287" s="390"/>
      <c r="AS287" s="390"/>
      <c r="AT287" s="391"/>
    </row>
    <row r="288" spans="2:46" ht="15.75" thickBot="1" x14ac:dyDescent="0.3">
      <c r="B288" s="544" t="s">
        <v>581</v>
      </c>
      <c r="C288" s="545"/>
      <c r="D288" s="545"/>
      <c r="E288" s="545"/>
      <c r="F288" s="545"/>
      <c r="G288" s="545"/>
      <c r="H288" s="545"/>
      <c r="I288" s="545"/>
      <c r="J288" s="546"/>
      <c r="K288" s="429">
        <v>420</v>
      </c>
      <c r="L288" s="430"/>
      <c r="M288" s="431"/>
      <c r="N288" s="429"/>
      <c r="O288" s="430"/>
      <c r="P288" s="431"/>
      <c r="Q288" s="440">
        <f t="shared" si="74"/>
        <v>0</v>
      </c>
      <c r="R288" s="410"/>
      <c r="S288" s="410"/>
      <c r="T288" s="410"/>
      <c r="U288" s="411"/>
      <c r="V288" s="383"/>
      <c r="W288" s="384"/>
      <c r="X288" s="384"/>
      <c r="Y288" s="384"/>
      <c r="Z288" s="385"/>
      <c r="AA288" s="383"/>
      <c r="AB288" s="384"/>
      <c r="AC288" s="384"/>
      <c r="AD288" s="385"/>
      <c r="AE288" s="383"/>
      <c r="AF288" s="384"/>
      <c r="AG288" s="384"/>
      <c r="AH288" s="385"/>
      <c r="AI288" s="383"/>
      <c r="AJ288" s="384"/>
      <c r="AK288" s="384"/>
      <c r="AL288" s="385"/>
      <c r="AM288" s="383"/>
      <c r="AN288" s="384"/>
      <c r="AO288" s="384"/>
      <c r="AP288" s="385"/>
      <c r="AQ288" s="389"/>
      <c r="AR288" s="390"/>
      <c r="AS288" s="390"/>
      <c r="AT288" s="391"/>
    </row>
    <row r="289" spans="2:48" ht="15.75" thickBot="1" x14ac:dyDescent="0.3">
      <c r="B289" s="489" t="s">
        <v>582</v>
      </c>
      <c r="C289" s="490"/>
      <c r="D289" s="490"/>
      <c r="E289" s="490"/>
      <c r="F289" s="490"/>
      <c r="G289" s="490"/>
      <c r="H289" s="490"/>
      <c r="I289" s="490"/>
      <c r="J289" s="491"/>
      <c r="K289" s="429">
        <v>500</v>
      </c>
      <c r="L289" s="430"/>
      <c r="M289" s="431"/>
      <c r="N289" s="507" t="s">
        <v>26</v>
      </c>
      <c r="O289" s="508"/>
      <c r="P289" s="508"/>
      <c r="Q289" s="534">
        <f>F58</f>
        <v>668173.41</v>
      </c>
      <c r="R289" s="535"/>
      <c r="S289" s="535"/>
      <c r="T289" s="535"/>
      <c r="U289" s="536"/>
      <c r="V289" s="433">
        <f>'Утверждено (МЗ,ОП,ИЦ,КАП)'!L4</f>
        <v>338890.64</v>
      </c>
      <c r="W289" s="433"/>
      <c r="X289" s="433"/>
      <c r="Y289" s="433"/>
      <c r="Z289" s="434"/>
      <c r="AA289" s="383"/>
      <c r="AB289" s="384"/>
      <c r="AC289" s="384"/>
      <c r="AD289" s="385"/>
      <c r="AE289" s="383">
        <v>0</v>
      </c>
      <c r="AF289" s="384"/>
      <c r="AG289" s="384"/>
      <c r="AH289" s="385"/>
      <c r="AI289" s="383"/>
      <c r="AJ289" s="384"/>
      <c r="AK289" s="384"/>
      <c r="AL289" s="385"/>
      <c r="AM289" s="383">
        <f>'Утверждено (ПДД)'!D7</f>
        <v>329282.77</v>
      </c>
      <c r="AN289" s="384"/>
      <c r="AO289" s="384"/>
      <c r="AP289" s="385"/>
      <c r="AQ289" s="389"/>
      <c r="AR289" s="390"/>
      <c r="AS289" s="390"/>
      <c r="AT289" s="390"/>
      <c r="AU289" s="186">
        <f>Q289-V289-AA289-AE289-AM289-AI289</f>
        <v>0</v>
      </c>
      <c r="AV289" s="187"/>
    </row>
    <row r="290" spans="2:48" x14ac:dyDescent="0.25">
      <c r="B290" s="489" t="s">
        <v>583</v>
      </c>
      <c r="C290" s="490"/>
      <c r="D290" s="490"/>
      <c r="E290" s="490"/>
      <c r="F290" s="490"/>
      <c r="G290" s="490"/>
      <c r="H290" s="490"/>
      <c r="I290" s="490"/>
      <c r="J290" s="491"/>
      <c r="K290" s="429">
        <v>600</v>
      </c>
      <c r="L290" s="430"/>
      <c r="M290" s="431"/>
      <c r="N290" s="507" t="s">
        <v>26</v>
      </c>
      <c r="O290" s="508"/>
      <c r="P290" s="509"/>
      <c r="Q290" s="441">
        <f>Q289+Q236-Q248</f>
        <v>635689.81000000238</v>
      </c>
      <c r="R290" s="412"/>
      <c r="S290" s="412"/>
      <c r="T290" s="412"/>
      <c r="U290" s="413"/>
      <c r="V290" s="383">
        <f>V289+V236-V248</f>
        <v>547028.81000000052</v>
      </c>
      <c r="W290" s="384"/>
      <c r="X290" s="384"/>
      <c r="Y290" s="384"/>
      <c r="Z290" s="385"/>
      <c r="AA290" s="383">
        <f>AA289+AA236-AA248</f>
        <v>744549.68</v>
      </c>
      <c r="AB290" s="384"/>
      <c r="AC290" s="384"/>
      <c r="AD290" s="385"/>
      <c r="AE290" s="383">
        <f>AE289+AE236-AE248</f>
        <v>0</v>
      </c>
      <c r="AF290" s="384"/>
      <c r="AG290" s="384"/>
      <c r="AH290" s="385"/>
      <c r="AI290" s="383">
        <f>AI289+AI236-AI248</f>
        <v>0</v>
      </c>
      <c r="AJ290" s="384"/>
      <c r="AK290" s="384"/>
      <c r="AL290" s="385"/>
      <c r="AM290" s="383">
        <f>AM289+AM236-AM248</f>
        <v>-655888.6799999997</v>
      </c>
      <c r="AN290" s="384"/>
      <c r="AO290" s="384"/>
      <c r="AP290" s="385"/>
      <c r="AQ290" s="389">
        <f>AQ289+AQ236-AQ248</f>
        <v>0</v>
      </c>
      <c r="AR290" s="390"/>
      <c r="AS290" s="390"/>
      <c r="AT290" s="391"/>
    </row>
    <row r="291" spans="2:48" x14ac:dyDescent="0.25">
      <c r="C291" s="1"/>
      <c r="D291" s="1"/>
      <c r="J291"/>
      <c r="K291" s="175"/>
      <c r="L291" s="175"/>
      <c r="M291" s="152"/>
      <c r="N291" s="134"/>
    </row>
    <row r="292" spans="2:48" x14ac:dyDescent="0.25">
      <c r="B292" s="472" t="s">
        <v>584</v>
      </c>
      <c r="C292" s="472"/>
      <c r="D292" s="472"/>
      <c r="E292" s="472"/>
      <c r="F292" s="472"/>
      <c r="G292" s="472"/>
      <c r="H292" s="472"/>
      <c r="I292" s="472"/>
      <c r="J292" s="472"/>
      <c r="K292" s="472"/>
      <c r="L292" s="472"/>
      <c r="M292" s="472"/>
      <c r="N292" s="472"/>
      <c r="O292" s="472"/>
      <c r="P292" s="472"/>
      <c r="Q292" s="472"/>
      <c r="R292" s="472"/>
      <c r="S292" s="472"/>
      <c r="T292" s="472"/>
      <c r="U292" s="472"/>
      <c r="V292" s="472"/>
      <c r="W292" s="472"/>
      <c r="X292" s="472"/>
      <c r="Y292" s="472"/>
      <c r="Z292" s="472"/>
      <c r="AA292" s="472"/>
      <c r="AB292" s="472"/>
      <c r="AC292" s="472"/>
      <c r="AD292" s="472"/>
      <c r="AE292" s="472"/>
      <c r="AF292" s="472"/>
      <c r="AG292" s="472"/>
      <c r="AH292" s="472"/>
      <c r="AI292" s="472"/>
      <c r="AJ292" s="472"/>
      <c r="AK292" s="472"/>
      <c r="AL292" s="472"/>
      <c r="AM292" s="472"/>
      <c r="AN292" s="472"/>
      <c r="AO292" s="472"/>
      <c r="AP292" s="472"/>
      <c r="AQ292" s="472"/>
      <c r="AR292" s="472"/>
      <c r="AS292" s="472"/>
      <c r="AT292" s="472"/>
    </row>
    <row r="293" spans="2:48" x14ac:dyDescent="0.25">
      <c r="B293" s="472" t="s">
        <v>585</v>
      </c>
      <c r="C293" s="472"/>
      <c r="D293" s="472"/>
      <c r="E293" s="472"/>
      <c r="F293" s="472"/>
      <c r="G293" s="472"/>
      <c r="H293" s="472"/>
      <c r="I293" s="472"/>
      <c r="J293" s="472"/>
      <c r="K293" s="472"/>
      <c r="L293" s="472"/>
      <c r="M293" s="472"/>
      <c r="N293" s="472"/>
      <c r="O293" s="472"/>
      <c r="P293" s="472"/>
      <c r="Q293" s="472"/>
      <c r="R293" s="472"/>
      <c r="S293" s="472"/>
      <c r="T293" s="472"/>
      <c r="U293" s="472"/>
      <c r="V293" s="472"/>
      <c r="W293" s="472"/>
      <c r="X293" s="472"/>
      <c r="Y293" s="472"/>
      <c r="Z293" s="472"/>
      <c r="AA293" s="472"/>
      <c r="AB293" s="472"/>
      <c r="AC293" s="472"/>
      <c r="AD293" s="472"/>
      <c r="AE293" s="472"/>
      <c r="AF293" s="472"/>
      <c r="AG293" s="472"/>
      <c r="AH293" s="472"/>
      <c r="AI293" s="472"/>
      <c r="AJ293" s="472"/>
      <c r="AK293" s="472"/>
      <c r="AL293" s="472"/>
      <c r="AM293" s="472"/>
      <c r="AN293" s="472"/>
      <c r="AO293" s="472"/>
      <c r="AP293" s="472"/>
      <c r="AQ293" s="472"/>
      <c r="AR293" s="472"/>
      <c r="AS293" s="472"/>
      <c r="AT293" s="472"/>
    </row>
    <row r="294" spans="2:48" x14ac:dyDescent="0.25">
      <c r="B294" s="472"/>
      <c r="C294" s="472"/>
      <c r="D294" s="472"/>
      <c r="E294" s="472"/>
      <c r="F294" s="472"/>
      <c r="G294" s="472"/>
      <c r="H294" s="472"/>
      <c r="I294" s="472"/>
      <c r="J294" s="472"/>
      <c r="K294" s="472"/>
      <c r="L294" s="472"/>
      <c r="M294" s="472"/>
      <c r="N294" s="472"/>
      <c r="O294" s="472"/>
      <c r="P294" s="472"/>
      <c r="Q294" s="472"/>
      <c r="R294" s="472"/>
      <c r="S294" s="472"/>
      <c r="T294" s="472"/>
      <c r="U294" s="472"/>
      <c r="V294" s="472"/>
      <c r="W294" s="472"/>
      <c r="X294" s="472"/>
      <c r="Y294" s="472"/>
      <c r="Z294" s="472"/>
      <c r="AA294" s="472"/>
      <c r="AB294" s="472"/>
      <c r="AC294" s="472"/>
      <c r="AD294" s="472"/>
      <c r="AE294" s="472"/>
      <c r="AF294" s="472"/>
      <c r="AG294" s="472"/>
      <c r="AH294" s="472"/>
      <c r="AI294" s="472"/>
      <c r="AJ294" s="472"/>
      <c r="AK294" s="472"/>
      <c r="AL294" s="472"/>
      <c r="AM294" s="472"/>
      <c r="AN294" s="472"/>
      <c r="AO294" s="472"/>
      <c r="AP294" s="472"/>
      <c r="AQ294" s="472"/>
      <c r="AR294" s="472"/>
      <c r="AS294" s="472"/>
      <c r="AT294" s="472"/>
    </row>
    <row r="295" spans="2:48" x14ac:dyDescent="0.25">
      <c r="B295" s="188"/>
      <c r="C295" s="188"/>
      <c r="D295" s="188"/>
      <c r="E295" s="188"/>
      <c r="F295" s="188"/>
      <c r="G295" s="188"/>
      <c r="H295" s="188"/>
      <c r="I295" s="188"/>
      <c r="J295" s="189"/>
      <c r="K295" s="189"/>
      <c r="L295" s="189"/>
      <c r="M295" s="189"/>
      <c r="N295" s="189"/>
      <c r="O295" s="189"/>
      <c r="P295" s="189"/>
      <c r="Q295" s="189"/>
      <c r="R295" s="189"/>
      <c r="S295" s="189"/>
      <c r="T295" s="189"/>
      <c r="U295" s="189"/>
      <c r="V295" s="193"/>
      <c r="W295" s="193"/>
      <c r="X295" s="193"/>
      <c r="Y295" s="193"/>
      <c r="Z295" s="193"/>
      <c r="AA295" s="193"/>
      <c r="AB295" s="193"/>
      <c r="AC295" s="193"/>
      <c r="AD295" s="193"/>
      <c r="AE295" s="193"/>
      <c r="AF295" s="193"/>
      <c r="AG295" s="193"/>
      <c r="AH295" s="193"/>
      <c r="AI295" s="193"/>
      <c r="AJ295" s="193"/>
      <c r="AK295" s="193"/>
      <c r="AL295" s="193"/>
      <c r="AM295" s="193"/>
      <c r="AN295" s="193"/>
      <c r="AO295" s="193"/>
      <c r="AP295" s="193"/>
      <c r="AQ295" s="193"/>
      <c r="AR295" s="193"/>
      <c r="AS295" s="193"/>
      <c r="AT295" s="189"/>
    </row>
    <row r="296" spans="2:48" x14ac:dyDescent="0.25">
      <c r="B296" s="552" t="s">
        <v>18</v>
      </c>
      <c r="C296" s="552"/>
      <c r="D296" s="552"/>
      <c r="E296" s="552"/>
      <c r="F296" s="552" t="s">
        <v>19</v>
      </c>
      <c r="G296" s="552"/>
      <c r="H296" s="552" t="s">
        <v>131</v>
      </c>
      <c r="I296" s="552"/>
      <c r="J296" s="552"/>
      <c r="K296" s="552" t="s">
        <v>586</v>
      </c>
      <c r="L296" s="552"/>
      <c r="M296" s="552"/>
      <c r="N296" s="552"/>
      <c r="O296" s="552"/>
      <c r="P296" s="552"/>
      <c r="Q296" s="552"/>
      <c r="R296" s="552"/>
      <c r="S296" s="552"/>
      <c r="T296" s="552"/>
      <c r="U296" s="552"/>
      <c r="V296" s="552"/>
      <c r="W296" s="552"/>
      <c r="X296" s="552"/>
      <c r="Y296" s="552"/>
      <c r="Z296" s="552"/>
      <c r="AA296" s="552"/>
      <c r="AB296" s="552"/>
      <c r="AC296" s="552"/>
      <c r="AD296" s="552"/>
      <c r="AE296" s="552"/>
      <c r="AF296" s="552"/>
      <c r="AG296" s="552"/>
      <c r="AH296" s="552"/>
      <c r="AI296" s="552"/>
      <c r="AJ296" s="552"/>
      <c r="AK296" s="552"/>
      <c r="AL296" s="552"/>
      <c r="AM296" s="552"/>
      <c r="AN296" s="552"/>
      <c r="AO296" s="552"/>
      <c r="AP296" s="552"/>
      <c r="AQ296" s="552"/>
      <c r="AR296" s="552"/>
      <c r="AS296" s="552"/>
      <c r="AT296" s="552"/>
    </row>
    <row r="297" spans="2:48" x14ac:dyDescent="0.25">
      <c r="B297" s="552"/>
      <c r="C297" s="552"/>
      <c r="D297" s="552"/>
      <c r="E297" s="552"/>
      <c r="F297" s="552"/>
      <c r="G297" s="552"/>
      <c r="H297" s="552"/>
      <c r="I297" s="552"/>
      <c r="J297" s="552"/>
      <c r="K297" s="552" t="s">
        <v>587</v>
      </c>
      <c r="L297" s="552"/>
      <c r="M297" s="552"/>
      <c r="N297" s="552"/>
      <c r="O297" s="552"/>
      <c r="P297" s="552"/>
      <c r="Q297" s="552"/>
      <c r="R297" s="552"/>
      <c r="S297" s="552"/>
      <c r="T297" s="552"/>
      <c r="U297" s="552"/>
      <c r="V297" s="552"/>
      <c r="W297" s="553" t="s">
        <v>522</v>
      </c>
      <c r="X297" s="553"/>
      <c r="Y297" s="553"/>
      <c r="Z297" s="553"/>
      <c r="AA297" s="553"/>
      <c r="AB297" s="553"/>
      <c r="AC297" s="553"/>
      <c r="AD297" s="553"/>
      <c r="AE297" s="553"/>
      <c r="AF297" s="553"/>
      <c r="AG297" s="553"/>
      <c r="AH297" s="553"/>
      <c r="AI297" s="553"/>
      <c r="AJ297" s="553"/>
      <c r="AK297" s="553"/>
      <c r="AL297" s="553"/>
      <c r="AM297" s="553"/>
      <c r="AN297" s="553"/>
      <c r="AO297" s="553"/>
      <c r="AP297" s="553"/>
      <c r="AQ297" s="553"/>
      <c r="AR297" s="553"/>
      <c r="AS297" s="553"/>
      <c r="AT297" s="553"/>
    </row>
    <row r="298" spans="2:48" x14ac:dyDescent="0.25">
      <c r="B298" s="552"/>
      <c r="C298" s="552"/>
      <c r="D298" s="552"/>
      <c r="E298" s="552"/>
      <c r="F298" s="552"/>
      <c r="G298" s="552"/>
      <c r="H298" s="552"/>
      <c r="I298" s="552"/>
      <c r="J298" s="552"/>
      <c r="K298" s="552"/>
      <c r="L298" s="552"/>
      <c r="M298" s="552"/>
      <c r="N298" s="552"/>
      <c r="O298" s="552"/>
      <c r="P298" s="552"/>
      <c r="Q298" s="552"/>
      <c r="R298" s="552"/>
      <c r="S298" s="552"/>
      <c r="T298" s="552"/>
      <c r="U298" s="552"/>
      <c r="V298" s="552"/>
      <c r="W298" s="554" t="s">
        <v>588</v>
      </c>
      <c r="X298" s="554"/>
      <c r="Y298" s="554"/>
      <c r="Z298" s="554"/>
      <c r="AA298" s="554"/>
      <c r="AB298" s="554"/>
      <c r="AC298" s="554"/>
      <c r="AD298" s="554"/>
      <c r="AE298" s="554"/>
      <c r="AF298" s="554"/>
      <c r="AG298" s="554"/>
      <c r="AH298" s="554"/>
      <c r="AI298" s="552" t="s">
        <v>589</v>
      </c>
      <c r="AJ298" s="552"/>
      <c r="AK298" s="552"/>
      <c r="AL298" s="552"/>
      <c r="AM298" s="552"/>
      <c r="AN298" s="552"/>
      <c r="AO298" s="552"/>
      <c r="AP298" s="552"/>
      <c r="AQ298" s="552"/>
      <c r="AR298" s="552"/>
      <c r="AS298" s="552"/>
      <c r="AT298" s="552"/>
    </row>
    <row r="299" spans="2:48" x14ac:dyDescent="0.25">
      <c r="B299" s="552"/>
      <c r="C299" s="552"/>
      <c r="D299" s="552"/>
      <c r="E299" s="552"/>
      <c r="F299" s="552"/>
      <c r="G299" s="552"/>
      <c r="H299" s="552"/>
      <c r="I299" s="552"/>
      <c r="J299" s="552"/>
      <c r="K299" s="552" t="s">
        <v>590</v>
      </c>
      <c r="L299" s="552"/>
      <c r="M299" s="552"/>
      <c r="N299" s="552"/>
      <c r="O299" s="552" t="s">
        <v>591</v>
      </c>
      <c r="P299" s="552"/>
      <c r="Q299" s="552"/>
      <c r="R299" s="552"/>
      <c r="S299" s="552" t="s">
        <v>592</v>
      </c>
      <c r="T299" s="552"/>
      <c r="U299" s="552"/>
      <c r="V299" s="552"/>
      <c r="W299" s="554" t="s">
        <v>590</v>
      </c>
      <c r="X299" s="554"/>
      <c r="Y299" s="554"/>
      <c r="Z299" s="554"/>
      <c r="AA299" s="554" t="s">
        <v>591</v>
      </c>
      <c r="AB299" s="554"/>
      <c r="AC299" s="554"/>
      <c r="AD299" s="554"/>
      <c r="AE299" s="554" t="s">
        <v>592</v>
      </c>
      <c r="AF299" s="554"/>
      <c r="AG299" s="554"/>
      <c r="AH299" s="554"/>
      <c r="AI299" s="554" t="s">
        <v>590</v>
      </c>
      <c r="AJ299" s="554"/>
      <c r="AK299" s="554"/>
      <c r="AL299" s="554"/>
      <c r="AM299" s="554" t="s">
        <v>591</v>
      </c>
      <c r="AN299" s="554"/>
      <c r="AO299" s="554"/>
      <c r="AP299" s="554"/>
      <c r="AQ299" s="552" t="s">
        <v>592</v>
      </c>
      <c r="AR299" s="552"/>
      <c r="AS299" s="552"/>
      <c r="AT299" s="552"/>
    </row>
    <row r="300" spans="2:48" x14ac:dyDescent="0.25">
      <c r="B300" s="548">
        <v>1</v>
      </c>
      <c r="C300" s="548"/>
      <c r="D300" s="548"/>
      <c r="E300" s="548"/>
      <c r="F300" s="547">
        <v>2</v>
      </c>
      <c r="G300" s="547"/>
      <c r="H300" s="547">
        <v>3</v>
      </c>
      <c r="I300" s="547"/>
      <c r="J300" s="547"/>
      <c r="K300" s="547">
        <v>4</v>
      </c>
      <c r="L300" s="547"/>
      <c r="M300" s="547"/>
      <c r="N300" s="547"/>
      <c r="O300" s="547">
        <v>5</v>
      </c>
      <c r="P300" s="547"/>
      <c r="Q300" s="547"/>
      <c r="R300" s="547"/>
      <c r="S300" s="547">
        <v>6</v>
      </c>
      <c r="T300" s="547"/>
      <c r="U300" s="547"/>
      <c r="V300" s="547"/>
      <c r="W300" s="549">
        <v>7</v>
      </c>
      <c r="X300" s="549"/>
      <c r="Y300" s="549"/>
      <c r="Z300" s="549"/>
      <c r="AA300" s="549">
        <v>8</v>
      </c>
      <c r="AB300" s="549"/>
      <c r="AC300" s="549"/>
      <c r="AD300" s="549"/>
      <c r="AE300" s="549">
        <v>9</v>
      </c>
      <c r="AF300" s="549"/>
      <c r="AG300" s="549"/>
      <c r="AH300" s="549"/>
      <c r="AI300" s="549">
        <v>10</v>
      </c>
      <c r="AJ300" s="549"/>
      <c r="AK300" s="549"/>
      <c r="AL300" s="549"/>
      <c r="AM300" s="550">
        <v>11</v>
      </c>
      <c r="AN300" s="550"/>
      <c r="AO300" s="550"/>
      <c r="AP300" s="550"/>
      <c r="AQ300" s="548">
        <v>12</v>
      </c>
      <c r="AR300" s="548"/>
      <c r="AS300" s="548"/>
      <c r="AT300" s="548"/>
    </row>
    <row r="301" spans="2:48" ht="15.75" thickBot="1" x14ac:dyDescent="0.3">
      <c r="B301" s="555" t="s">
        <v>593</v>
      </c>
      <c r="C301" s="555"/>
      <c r="D301" s="555"/>
      <c r="E301" s="555"/>
      <c r="F301" s="556" t="s">
        <v>25</v>
      </c>
      <c r="G301" s="556"/>
      <c r="H301" s="557" t="s">
        <v>26</v>
      </c>
      <c r="I301" s="557"/>
      <c r="J301" s="557"/>
      <c r="K301" s="480">
        <f>K302+K304</f>
        <v>2464850.1199999996</v>
      </c>
      <c r="L301" s="480"/>
      <c r="M301" s="480"/>
      <c r="N301" s="480"/>
      <c r="O301" s="480">
        <f>O302+O304</f>
        <v>1862364.27</v>
      </c>
      <c r="P301" s="480"/>
      <c r="Q301" s="480"/>
      <c r="R301" s="480"/>
      <c r="S301" s="480">
        <f>S302+S304</f>
        <v>1862364.27</v>
      </c>
      <c r="T301" s="480"/>
      <c r="U301" s="480"/>
      <c r="V301" s="480"/>
      <c r="W301" s="482">
        <f>W302+W304</f>
        <v>2464850.1199999996</v>
      </c>
      <c r="X301" s="482"/>
      <c r="Y301" s="482"/>
      <c r="Z301" s="482"/>
      <c r="AA301" s="482">
        <f>AA302+AA304</f>
        <v>1862364.27</v>
      </c>
      <c r="AB301" s="482"/>
      <c r="AC301" s="482"/>
      <c r="AD301" s="482"/>
      <c r="AE301" s="482">
        <f t="shared" ref="AE301" si="75">AE302+AE304</f>
        <v>1862364.27</v>
      </c>
      <c r="AF301" s="482"/>
      <c r="AG301" s="482"/>
      <c r="AH301" s="482"/>
      <c r="AI301" s="482">
        <f t="shared" ref="AI301" si="76">AI302+AI304</f>
        <v>0</v>
      </c>
      <c r="AJ301" s="482"/>
      <c r="AK301" s="482"/>
      <c r="AL301" s="482"/>
      <c r="AM301" s="482">
        <f t="shared" ref="AM301" si="77">AM302+AM304</f>
        <v>0</v>
      </c>
      <c r="AN301" s="482"/>
      <c r="AO301" s="482"/>
      <c r="AP301" s="482"/>
      <c r="AQ301" s="551">
        <f t="shared" ref="AQ301" si="78">AQ302+AQ304</f>
        <v>0</v>
      </c>
      <c r="AR301" s="551"/>
      <c r="AS301" s="551"/>
      <c r="AT301" s="551"/>
    </row>
    <row r="302" spans="2:48" x14ac:dyDescent="0.25">
      <c r="B302" s="565" t="s">
        <v>594</v>
      </c>
      <c r="C302" s="566"/>
      <c r="D302" s="566"/>
      <c r="E302" s="567"/>
      <c r="F302" s="424">
        <v>1001</v>
      </c>
      <c r="G302" s="425"/>
      <c r="H302" s="417" t="s">
        <v>26</v>
      </c>
      <c r="I302" s="418"/>
      <c r="J302" s="419"/>
      <c r="K302" s="440">
        <f>W302+AI302</f>
        <v>808157.84</v>
      </c>
      <c r="L302" s="410"/>
      <c r="M302" s="410"/>
      <c r="N302" s="411"/>
      <c r="O302" s="440">
        <f t="shared" ref="O302" si="79">AA302+AM302</f>
        <v>0</v>
      </c>
      <c r="P302" s="410"/>
      <c r="Q302" s="410"/>
      <c r="R302" s="411"/>
      <c r="S302" s="440">
        <f t="shared" ref="S302" si="80">AE302+AQ302</f>
        <v>0</v>
      </c>
      <c r="T302" s="410"/>
      <c r="U302" s="410"/>
      <c r="V302" s="410"/>
      <c r="W302" s="404">
        <f>F185</f>
        <v>808157.84</v>
      </c>
      <c r="X302" s="405"/>
      <c r="Y302" s="405"/>
      <c r="Z302" s="406"/>
      <c r="AA302" s="404">
        <f>G185</f>
        <v>0</v>
      </c>
      <c r="AB302" s="405"/>
      <c r="AC302" s="405"/>
      <c r="AD302" s="406"/>
      <c r="AE302" s="404">
        <f>H185</f>
        <v>0</v>
      </c>
      <c r="AF302" s="405"/>
      <c r="AG302" s="405"/>
      <c r="AH302" s="405"/>
      <c r="AI302" s="404">
        <f>F187</f>
        <v>0</v>
      </c>
      <c r="AJ302" s="405"/>
      <c r="AK302" s="405"/>
      <c r="AL302" s="406"/>
      <c r="AM302" s="404">
        <f>G187</f>
        <v>0</v>
      </c>
      <c r="AN302" s="405"/>
      <c r="AO302" s="405"/>
      <c r="AP302" s="406"/>
      <c r="AQ302" s="558">
        <f>H187</f>
        <v>0</v>
      </c>
      <c r="AR302" s="559"/>
      <c r="AS302" s="559"/>
      <c r="AT302" s="560"/>
    </row>
    <row r="303" spans="2:48" ht="15.75" thickBot="1" x14ac:dyDescent="0.3">
      <c r="B303" s="564" t="s">
        <v>595</v>
      </c>
      <c r="C303" s="564"/>
      <c r="D303" s="564"/>
      <c r="E303" s="564"/>
      <c r="F303" s="427"/>
      <c r="G303" s="428"/>
      <c r="H303" s="420"/>
      <c r="I303" s="421"/>
      <c r="J303" s="422"/>
      <c r="K303" s="441"/>
      <c r="L303" s="412"/>
      <c r="M303" s="412"/>
      <c r="N303" s="413"/>
      <c r="O303" s="441"/>
      <c r="P303" s="412"/>
      <c r="Q303" s="412"/>
      <c r="R303" s="413"/>
      <c r="S303" s="441"/>
      <c r="T303" s="412"/>
      <c r="U303" s="412"/>
      <c r="V303" s="412"/>
      <c r="W303" s="407"/>
      <c r="X303" s="408"/>
      <c r="Y303" s="408"/>
      <c r="Z303" s="409"/>
      <c r="AA303" s="407"/>
      <c r="AB303" s="408"/>
      <c r="AC303" s="408"/>
      <c r="AD303" s="409"/>
      <c r="AE303" s="407"/>
      <c r="AF303" s="408"/>
      <c r="AG303" s="408"/>
      <c r="AH303" s="408"/>
      <c r="AI303" s="407"/>
      <c r="AJ303" s="408"/>
      <c r="AK303" s="408"/>
      <c r="AL303" s="409"/>
      <c r="AM303" s="407"/>
      <c r="AN303" s="408"/>
      <c r="AO303" s="408"/>
      <c r="AP303" s="409"/>
      <c r="AQ303" s="561"/>
      <c r="AR303" s="562"/>
      <c r="AS303" s="562"/>
      <c r="AT303" s="563"/>
    </row>
    <row r="304" spans="2:48" ht="15.75" thickBot="1" x14ac:dyDescent="0.3">
      <c r="B304" s="570" t="s">
        <v>596</v>
      </c>
      <c r="C304" s="570"/>
      <c r="D304" s="570"/>
      <c r="E304" s="570"/>
      <c r="F304" s="479">
        <v>2001</v>
      </c>
      <c r="G304" s="479"/>
      <c r="H304" s="568"/>
      <c r="I304" s="568"/>
      <c r="J304" s="568"/>
      <c r="K304" s="480">
        <f t="shared" ref="K304:K307" si="81">W304+AI304</f>
        <v>1656692.2799999996</v>
      </c>
      <c r="L304" s="480"/>
      <c r="M304" s="480"/>
      <c r="N304" s="480"/>
      <c r="O304" s="480">
        <f t="shared" ref="O304:O307" si="82">AA304+AM304</f>
        <v>1862364.27</v>
      </c>
      <c r="P304" s="480"/>
      <c r="Q304" s="480"/>
      <c r="R304" s="480"/>
      <c r="S304" s="480">
        <f t="shared" ref="S304:S307" si="83">AE304+AQ304</f>
        <v>1862364.27</v>
      </c>
      <c r="T304" s="480"/>
      <c r="U304" s="480"/>
      <c r="V304" s="480"/>
      <c r="W304" s="503">
        <f>W305+W306+W307</f>
        <v>1656692.2799999996</v>
      </c>
      <c r="X304" s="503"/>
      <c r="Y304" s="503"/>
      <c r="Z304" s="503"/>
      <c r="AA304" s="503">
        <f>AA305+AA306+AA307</f>
        <v>1862364.27</v>
      </c>
      <c r="AB304" s="503"/>
      <c r="AC304" s="503"/>
      <c r="AD304" s="503"/>
      <c r="AE304" s="503">
        <f>AE305+AE306+AE307</f>
        <v>1862364.27</v>
      </c>
      <c r="AF304" s="503"/>
      <c r="AG304" s="503"/>
      <c r="AH304" s="503"/>
      <c r="AI304" s="503">
        <f t="shared" ref="AI304" si="84">AI305+AI306+AI307</f>
        <v>0</v>
      </c>
      <c r="AJ304" s="503"/>
      <c r="AK304" s="503"/>
      <c r="AL304" s="503"/>
      <c r="AM304" s="503">
        <f t="shared" ref="AM304" si="85">AM305+AM306+AM307</f>
        <v>0</v>
      </c>
      <c r="AN304" s="503"/>
      <c r="AO304" s="503"/>
      <c r="AP304" s="503"/>
      <c r="AQ304" s="569">
        <f t="shared" ref="AQ304" si="86">AQ305+AQ306+AQ307</f>
        <v>0</v>
      </c>
      <c r="AR304" s="569"/>
      <c r="AS304" s="569"/>
      <c r="AT304" s="569"/>
    </row>
    <row r="305" spans="2:46" ht="15.75" thickBot="1" x14ac:dyDescent="0.3">
      <c r="B305" s="570" t="s">
        <v>597</v>
      </c>
      <c r="C305" s="570"/>
      <c r="D305" s="570"/>
      <c r="E305" s="570"/>
      <c r="F305" s="568">
        <v>2002</v>
      </c>
      <c r="G305" s="568"/>
      <c r="H305" s="568">
        <v>2020</v>
      </c>
      <c r="I305" s="568"/>
      <c r="J305" s="568"/>
      <c r="K305" s="480">
        <f t="shared" si="81"/>
        <v>1656692.2799999996</v>
      </c>
      <c r="L305" s="480"/>
      <c r="M305" s="480"/>
      <c r="N305" s="480"/>
      <c r="O305" s="480">
        <f t="shared" si="82"/>
        <v>4666</v>
      </c>
      <c r="P305" s="480"/>
      <c r="Q305" s="480"/>
      <c r="R305" s="480"/>
      <c r="S305" s="480">
        <f t="shared" si="83"/>
        <v>0</v>
      </c>
      <c r="T305" s="480"/>
      <c r="U305" s="480"/>
      <c r="V305" s="389"/>
      <c r="W305" s="571">
        <f>F203</f>
        <v>1656692.2799999996</v>
      </c>
      <c r="X305" s="572"/>
      <c r="Y305" s="572"/>
      <c r="Z305" s="573"/>
      <c r="AA305" s="504">
        <f>G203</f>
        <v>4666</v>
      </c>
      <c r="AB305" s="505"/>
      <c r="AC305" s="505"/>
      <c r="AD305" s="506"/>
      <c r="AE305" s="504">
        <f>H203</f>
        <v>0</v>
      </c>
      <c r="AF305" s="505"/>
      <c r="AG305" s="505"/>
      <c r="AH305" s="574"/>
      <c r="AI305" s="504">
        <f>F207</f>
        <v>0</v>
      </c>
      <c r="AJ305" s="505"/>
      <c r="AK305" s="505"/>
      <c r="AL305" s="506"/>
      <c r="AM305" s="504">
        <f>G207</f>
        <v>0</v>
      </c>
      <c r="AN305" s="505"/>
      <c r="AO305" s="505"/>
      <c r="AP305" s="506"/>
      <c r="AQ305" s="575">
        <f>H207</f>
        <v>0</v>
      </c>
      <c r="AR305" s="576"/>
      <c r="AS305" s="576"/>
      <c r="AT305" s="577"/>
    </row>
    <row r="306" spans="2:46" ht="15.75" thickBot="1" x14ac:dyDescent="0.3">
      <c r="B306" s="570" t="s">
        <v>597</v>
      </c>
      <c r="C306" s="570"/>
      <c r="D306" s="570"/>
      <c r="E306" s="570"/>
      <c r="F306" s="568">
        <v>2003</v>
      </c>
      <c r="G306" s="568"/>
      <c r="H306" s="568">
        <v>2021</v>
      </c>
      <c r="I306" s="568"/>
      <c r="J306" s="568"/>
      <c r="K306" s="480">
        <f t="shared" si="81"/>
        <v>0</v>
      </c>
      <c r="L306" s="480"/>
      <c r="M306" s="480"/>
      <c r="N306" s="480"/>
      <c r="O306" s="480">
        <f t="shared" si="82"/>
        <v>1857698.27</v>
      </c>
      <c r="P306" s="480"/>
      <c r="Q306" s="480"/>
      <c r="R306" s="480"/>
      <c r="S306" s="480">
        <f t="shared" si="83"/>
        <v>4899.3</v>
      </c>
      <c r="T306" s="480"/>
      <c r="U306" s="480"/>
      <c r="V306" s="389"/>
      <c r="W306" s="571">
        <f>F204</f>
        <v>0</v>
      </c>
      <c r="X306" s="572"/>
      <c r="Y306" s="572"/>
      <c r="Z306" s="573"/>
      <c r="AA306" s="504">
        <f>G204</f>
        <v>1857698.27</v>
      </c>
      <c r="AB306" s="505"/>
      <c r="AC306" s="505"/>
      <c r="AD306" s="506"/>
      <c r="AE306" s="504">
        <f>H204</f>
        <v>4899.3</v>
      </c>
      <c r="AF306" s="505"/>
      <c r="AG306" s="505"/>
      <c r="AH306" s="574"/>
      <c r="AI306" s="504">
        <f>F208</f>
        <v>0</v>
      </c>
      <c r="AJ306" s="505"/>
      <c r="AK306" s="505"/>
      <c r="AL306" s="506"/>
      <c r="AM306" s="504">
        <f>G208</f>
        <v>0</v>
      </c>
      <c r="AN306" s="505"/>
      <c r="AO306" s="505"/>
      <c r="AP306" s="506"/>
      <c r="AQ306" s="575">
        <f>H208</f>
        <v>0</v>
      </c>
      <c r="AR306" s="576"/>
      <c r="AS306" s="576"/>
      <c r="AT306" s="577"/>
    </row>
    <row r="307" spans="2:46" ht="15.75" thickBot="1" x14ac:dyDescent="0.3">
      <c r="B307" s="570" t="s">
        <v>597</v>
      </c>
      <c r="C307" s="570"/>
      <c r="D307" s="570"/>
      <c r="E307" s="570"/>
      <c r="F307" s="568">
        <v>2004</v>
      </c>
      <c r="G307" s="568"/>
      <c r="H307" s="568">
        <v>2022</v>
      </c>
      <c r="I307" s="568"/>
      <c r="J307" s="568"/>
      <c r="K307" s="480">
        <f t="shared" si="81"/>
        <v>0</v>
      </c>
      <c r="L307" s="480"/>
      <c r="M307" s="480"/>
      <c r="N307" s="480"/>
      <c r="O307" s="480">
        <f t="shared" si="82"/>
        <v>0</v>
      </c>
      <c r="P307" s="480"/>
      <c r="Q307" s="480"/>
      <c r="R307" s="480"/>
      <c r="S307" s="480">
        <f t="shared" si="83"/>
        <v>1857464.97</v>
      </c>
      <c r="T307" s="480"/>
      <c r="U307" s="480"/>
      <c r="V307" s="389"/>
      <c r="W307" s="571">
        <f>F205</f>
        <v>0</v>
      </c>
      <c r="X307" s="572"/>
      <c r="Y307" s="572"/>
      <c r="Z307" s="573"/>
      <c r="AA307" s="504">
        <f>G205</f>
        <v>0</v>
      </c>
      <c r="AB307" s="505"/>
      <c r="AC307" s="505"/>
      <c r="AD307" s="506"/>
      <c r="AE307" s="504">
        <f>H205</f>
        <v>1857464.97</v>
      </c>
      <c r="AF307" s="505"/>
      <c r="AG307" s="505"/>
      <c r="AH307" s="574"/>
      <c r="AI307" s="504">
        <f>F209</f>
        <v>0</v>
      </c>
      <c r="AJ307" s="505"/>
      <c r="AK307" s="505"/>
      <c r="AL307" s="506"/>
      <c r="AM307" s="504">
        <f>G209</f>
        <v>0</v>
      </c>
      <c r="AN307" s="505"/>
      <c r="AO307" s="505"/>
      <c r="AP307" s="506"/>
      <c r="AQ307" s="575">
        <f>H209</f>
        <v>0</v>
      </c>
      <c r="AR307" s="576"/>
      <c r="AS307" s="576"/>
      <c r="AT307" s="577"/>
    </row>
  </sheetData>
  <mergeCells count="634">
    <mergeCell ref="M96:N96"/>
    <mergeCell ref="M85:N85"/>
    <mergeCell ref="M86:O86"/>
    <mergeCell ref="M101:N101"/>
    <mergeCell ref="M102:O102"/>
    <mergeCell ref="AQ306:AT306"/>
    <mergeCell ref="B307:E307"/>
    <mergeCell ref="F307:G307"/>
    <mergeCell ref="H307:J307"/>
    <mergeCell ref="K307:N307"/>
    <mergeCell ref="O307:R307"/>
    <mergeCell ref="S307:V307"/>
    <mergeCell ref="W307:Z307"/>
    <mergeCell ref="AA307:AD307"/>
    <mergeCell ref="AE307:AH307"/>
    <mergeCell ref="AI307:AL307"/>
    <mergeCell ref="AM307:AP307"/>
    <mergeCell ref="AQ307:AT307"/>
    <mergeCell ref="W306:Z306"/>
    <mergeCell ref="AA306:AD306"/>
    <mergeCell ref="AE306:AH306"/>
    <mergeCell ref="AI306:AL306"/>
    <mergeCell ref="AM306:AP306"/>
    <mergeCell ref="B306:E306"/>
    <mergeCell ref="F306:G306"/>
    <mergeCell ref="H306:J306"/>
    <mergeCell ref="K306:N306"/>
    <mergeCell ref="O306:R306"/>
    <mergeCell ref="S306:V306"/>
    <mergeCell ref="AM304:AP304"/>
    <mergeCell ref="AQ304:AT304"/>
    <mergeCell ref="B305:E305"/>
    <mergeCell ref="F305:G305"/>
    <mergeCell ref="H305:J305"/>
    <mergeCell ref="K305:N305"/>
    <mergeCell ref="O305:R305"/>
    <mergeCell ref="S305:V305"/>
    <mergeCell ref="W305:Z305"/>
    <mergeCell ref="AA305:AD305"/>
    <mergeCell ref="AE305:AH305"/>
    <mergeCell ref="AI305:AL305"/>
    <mergeCell ref="AM305:AP305"/>
    <mergeCell ref="AQ305:AT305"/>
    <mergeCell ref="B304:E304"/>
    <mergeCell ref="F304:G304"/>
    <mergeCell ref="H304:J304"/>
    <mergeCell ref="K304:N304"/>
    <mergeCell ref="O304:R304"/>
    <mergeCell ref="S304:V304"/>
    <mergeCell ref="W304:Z304"/>
    <mergeCell ref="AA304:AD304"/>
    <mergeCell ref="AE304:AH304"/>
    <mergeCell ref="AI304:AL304"/>
    <mergeCell ref="AI302:AL303"/>
    <mergeCell ref="AM302:AP303"/>
    <mergeCell ref="AQ302:AT303"/>
    <mergeCell ref="B303:E303"/>
    <mergeCell ref="B302:E302"/>
    <mergeCell ref="F302:G303"/>
    <mergeCell ref="H302:J303"/>
    <mergeCell ref="K302:N303"/>
    <mergeCell ref="O302:R303"/>
    <mergeCell ref="S302:V303"/>
    <mergeCell ref="W302:Z303"/>
    <mergeCell ref="AA302:AD303"/>
    <mergeCell ref="AE302:AH303"/>
    <mergeCell ref="S301:V301"/>
    <mergeCell ref="W301:Z301"/>
    <mergeCell ref="AA301:AD301"/>
    <mergeCell ref="AE301:AH301"/>
    <mergeCell ref="AI301:AL301"/>
    <mergeCell ref="B301:E301"/>
    <mergeCell ref="F301:G301"/>
    <mergeCell ref="H301:J301"/>
    <mergeCell ref="K301:N301"/>
    <mergeCell ref="O301:R301"/>
    <mergeCell ref="AQ301:AT301"/>
    <mergeCell ref="B292:AT292"/>
    <mergeCell ref="B293:AT293"/>
    <mergeCell ref="B294:AT294"/>
    <mergeCell ref="B296:E299"/>
    <mergeCell ref="F296:G299"/>
    <mergeCell ref="H296:J299"/>
    <mergeCell ref="K296:AT296"/>
    <mergeCell ref="K297:V298"/>
    <mergeCell ref="W297:AT297"/>
    <mergeCell ref="W298:AH298"/>
    <mergeCell ref="AI298:AT298"/>
    <mergeCell ref="K299:N299"/>
    <mergeCell ref="O299:R299"/>
    <mergeCell ref="S299:V299"/>
    <mergeCell ref="W299:Z299"/>
    <mergeCell ref="AA299:AD299"/>
    <mergeCell ref="AE299:AH299"/>
    <mergeCell ref="AI299:AL299"/>
    <mergeCell ref="AM299:AP299"/>
    <mergeCell ref="AQ299:AT299"/>
    <mergeCell ref="B300:E300"/>
    <mergeCell ref="F300:G300"/>
    <mergeCell ref="AM301:AP301"/>
    <mergeCell ref="H300:J300"/>
    <mergeCell ref="AA290:AD290"/>
    <mergeCell ref="AE290:AH290"/>
    <mergeCell ref="AI290:AL290"/>
    <mergeCell ref="AM290:AP290"/>
    <mergeCell ref="AQ290:AT290"/>
    <mergeCell ref="B290:J290"/>
    <mergeCell ref="K290:M290"/>
    <mergeCell ref="N290:P290"/>
    <mergeCell ref="Q290:U290"/>
    <mergeCell ref="V290:Z290"/>
    <mergeCell ref="AQ300:AT300"/>
    <mergeCell ref="K300:N300"/>
    <mergeCell ref="O300:R300"/>
    <mergeCell ref="S300:V300"/>
    <mergeCell ref="W300:Z300"/>
    <mergeCell ref="AA300:AD300"/>
    <mergeCell ref="AE300:AH300"/>
    <mergeCell ref="AI300:AL300"/>
    <mergeCell ref="AM300:AP300"/>
    <mergeCell ref="AE288:AH288"/>
    <mergeCell ref="AI288:AL288"/>
    <mergeCell ref="AM288:AP288"/>
    <mergeCell ref="AQ288:AT288"/>
    <mergeCell ref="B289:J289"/>
    <mergeCell ref="K289:M289"/>
    <mergeCell ref="N289:P289"/>
    <mergeCell ref="Q289:U289"/>
    <mergeCell ref="V289:Z289"/>
    <mergeCell ref="AA289:AD289"/>
    <mergeCell ref="AE289:AH289"/>
    <mergeCell ref="AI289:AL289"/>
    <mergeCell ref="AM289:AP289"/>
    <mergeCell ref="AQ289:AT289"/>
    <mergeCell ref="B288:J288"/>
    <mergeCell ref="K288:M288"/>
    <mergeCell ref="N288:P288"/>
    <mergeCell ref="Q288:U288"/>
    <mergeCell ref="V288:Z288"/>
    <mergeCell ref="AM284:AP284"/>
    <mergeCell ref="AQ284:AT284"/>
    <mergeCell ref="B285:J285"/>
    <mergeCell ref="K285:M286"/>
    <mergeCell ref="N285:P286"/>
    <mergeCell ref="Q285:U286"/>
    <mergeCell ref="V285:Z286"/>
    <mergeCell ref="AA285:AD286"/>
    <mergeCell ref="AE285:AH286"/>
    <mergeCell ref="AI285:AL286"/>
    <mergeCell ref="AM285:AP286"/>
    <mergeCell ref="AQ285:AT286"/>
    <mergeCell ref="B286:J286"/>
    <mergeCell ref="N284:P284"/>
    <mergeCell ref="Q284:U284"/>
    <mergeCell ref="V284:Z284"/>
    <mergeCell ref="AA284:AD284"/>
    <mergeCell ref="AE284:AH284"/>
    <mergeCell ref="AE281:AH282"/>
    <mergeCell ref="AI281:AL282"/>
    <mergeCell ref="B287:J287"/>
    <mergeCell ref="K287:M287"/>
    <mergeCell ref="N287:P287"/>
    <mergeCell ref="Q287:U287"/>
    <mergeCell ref="V287:Z287"/>
    <mergeCell ref="AI284:AL284"/>
    <mergeCell ref="AA287:AD287"/>
    <mergeCell ref="AE287:AH287"/>
    <mergeCell ref="AI287:AL287"/>
    <mergeCell ref="AQ274:AT274"/>
    <mergeCell ref="B273:J273"/>
    <mergeCell ref="K273:M273"/>
    <mergeCell ref="N273:P273"/>
    <mergeCell ref="Q273:U273"/>
    <mergeCell ref="V273:Z273"/>
    <mergeCell ref="N278:P278"/>
    <mergeCell ref="Q278:U278"/>
    <mergeCell ref="V278:Z278"/>
    <mergeCell ref="AA278:AD278"/>
    <mergeCell ref="AE278:AH278"/>
    <mergeCell ref="AI275:AL275"/>
    <mergeCell ref="AM275:AP275"/>
    <mergeCell ref="AQ275:AT275"/>
    <mergeCell ref="B276:J276"/>
    <mergeCell ref="K276:M277"/>
    <mergeCell ref="N276:P277"/>
    <mergeCell ref="Q276:U277"/>
    <mergeCell ref="V276:Z277"/>
    <mergeCell ref="AA276:AD277"/>
    <mergeCell ref="AE276:AH277"/>
    <mergeCell ref="AI276:AL277"/>
    <mergeCell ref="AM276:AP277"/>
    <mergeCell ref="AQ276:AT277"/>
    <mergeCell ref="B274:J274"/>
    <mergeCell ref="K274:M274"/>
    <mergeCell ref="N274:P274"/>
    <mergeCell ref="Q274:U274"/>
    <mergeCell ref="V274:Z274"/>
    <mergeCell ref="AA274:AD274"/>
    <mergeCell ref="AE274:AH274"/>
    <mergeCell ref="AI274:AL274"/>
    <mergeCell ref="AM274:AP274"/>
    <mergeCell ref="B271:J271"/>
    <mergeCell ref="K271:M272"/>
    <mergeCell ref="N271:P272"/>
    <mergeCell ref="Q271:U272"/>
    <mergeCell ref="V271:Z272"/>
    <mergeCell ref="B272:J272"/>
    <mergeCell ref="B270:J270"/>
    <mergeCell ref="K270:M270"/>
    <mergeCell ref="N270:P270"/>
    <mergeCell ref="Q270:U270"/>
    <mergeCell ref="V270:Z270"/>
    <mergeCell ref="AE268:AH268"/>
    <mergeCell ref="AI268:AL268"/>
    <mergeCell ref="AM268:AP268"/>
    <mergeCell ref="AQ268:AT268"/>
    <mergeCell ref="B269:J269"/>
    <mergeCell ref="K269:M269"/>
    <mergeCell ref="N269:P269"/>
    <mergeCell ref="Q269:U269"/>
    <mergeCell ref="V269:Z269"/>
    <mergeCell ref="AA269:AD269"/>
    <mergeCell ref="AE269:AH269"/>
    <mergeCell ref="AI269:AL269"/>
    <mergeCell ref="AM269:AP269"/>
    <mergeCell ref="AQ269:AT269"/>
    <mergeCell ref="B268:J268"/>
    <mergeCell ref="K268:M268"/>
    <mergeCell ref="N268:P268"/>
    <mergeCell ref="Q268:U268"/>
    <mergeCell ref="V268:Z268"/>
    <mergeCell ref="B267:J267"/>
    <mergeCell ref="K267:M267"/>
    <mergeCell ref="N267:P267"/>
    <mergeCell ref="Q267:U267"/>
    <mergeCell ref="V267:Z267"/>
    <mergeCell ref="AI264:AL264"/>
    <mergeCell ref="AM264:AP264"/>
    <mergeCell ref="AQ264:AT264"/>
    <mergeCell ref="B265:J265"/>
    <mergeCell ref="K265:M266"/>
    <mergeCell ref="N265:P266"/>
    <mergeCell ref="Q265:U266"/>
    <mergeCell ref="V265:Z266"/>
    <mergeCell ref="AA265:AD266"/>
    <mergeCell ref="AE265:AH266"/>
    <mergeCell ref="AI265:AL266"/>
    <mergeCell ref="AM265:AP266"/>
    <mergeCell ref="AQ265:AT266"/>
    <mergeCell ref="B266:J266"/>
    <mergeCell ref="N264:P264"/>
    <mergeCell ref="Q264:U264"/>
    <mergeCell ref="V264:Z264"/>
    <mergeCell ref="AA264:AD264"/>
    <mergeCell ref="AE264:AH264"/>
    <mergeCell ref="AE263:AH263"/>
    <mergeCell ref="AI263:AL263"/>
    <mergeCell ref="AM263:AP263"/>
    <mergeCell ref="AQ263:AT263"/>
    <mergeCell ref="B262:J262"/>
    <mergeCell ref="K262:M262"/>
    <mergeCell ref="N262:P262"/>
    <mergeCell ref="Q262:U262"/>
    <mergeCell ref="V262:Z262"/>
    <mergeCell ref="AI258:AL258"/>
    <mergeCell ref="AM258:AP258"/>
    <mergeCell ref="AQ258:AT258"/>
    <mergeCell ref="B259:J259"/>
    <mergeCell ref="K259:M260"/>
    <mergeCell ref="N259:P260"/>
    <mergeCell ref="Q259:U260"/>
    <mergeCell ref="V259:Z260"/>
    <mergeCell ref="AA259:AD260"/>
    <mergeCell ref="AE259:AH260"/>
    <mergeCell ref="AI259:AL260"/>
    <mergeCell ref="AM259:AP260"/>
    <mergeCell ref="AQ259:AT260"/>
    <mergeCell ref="B260:J260"/>
    <mergeCell ref="N258:P258"/>
    <mergeCell ref="Q258:U258"/>
    <mergeCell ref="V258:Z258"/>
    <mergeCell ref="AA258:AD258"/>
    <mergeCell ref="AE258:AH258"/>
    <mergeCell ref="K256:M256"/>
    <mergeCell ref="N256:P256"/>
    <mergeCell ref="Q256:U256"/>
    <mergeCell ref="V256:Z256"/>
    <mergeCell ref="B261:J261"/>
    <mergeCell ref="K261:M261"/>
    <mergeCell ref="N261:P261"/>
    <mergeCell ref="Q261:U261"/>
    <mergeCell ref="V261:Z261"/>
    <mergeCell ref="B258:J258"/>
    <mergeCell ref="K258:M258"/>
    <mergeCell ref="B257:J257"/>
    <mergeCell ref="K257:M257"/>
    <mergeCell ref="N257:P257"/>
    <mergeCell ref="Q257:U257"/>
    <mergeCell ref="V257:Z257"/>
    <mergeCell ref="V255:Z255"/>
    <mergeCell ref="AA255:AD255"/>
    <mergeCell ref="AE255:AH255"/>
    <mergeCell ref="AI255:AL255"/>
    <mergeCell ref="AM255:AP255"/>
    <mergeCell ref="B254:J254"/>
    <mergeCell ref="B255:J255"/>
    <mergeCell ref="K255:M255"/>
    <mergeCell ref="N255:P255"/>
    <mergeCell ref="Q255:U255"/>
    <mergeCell ref="N253:P254"/>
    <mergeCell ref="Q253:U254"/>
    <mergeCell ref="V253:Z254"/>
    <mergeCell ref="AA253:AD254"/>
    <mergeCell ref="AE253:AH254"/>
    <mergeCell ref="AI253:AL254"/>
    <mergeCell ref="AM253:AP254"/>
    <mergeCell ref="AQ249:AT250"/>
    <mergeCell ref="B250:J250"/>
    <mergeCell ref="B251:J251"/>
    <mergeCell ref="K251:M252"/>
    <mergeCell ref="N251:P252"/>
    <mergeCell ref="Q251:U252"/>
    <mergeCell ref="V251:Z252"/>
    <mergeCell ref="AA251:AD252"/>
    <mergeCell ref="AE251:AH252"/>
    <mergeCell ref="AI251:AL252"/>
    <mergeCell ref="AM251:AP252"/>
    <mergeCell ref="AQ251:AT252"/>
    <mergeCell ref="B252:J252"/>
    <mergeCell ref="V249:Z250"/>
    <mergeCell ref="AA249:AD250"/>
    <mergeCell ref="AE249:AH250"/>
    <mergeCell ref="AI249:AL250"/>
    <mergeCell ref="AM249:AP250"/>
    <mergeCell ref="B249:J249"/>
    <mergeCell ref="K249:M250"/>
    <mergeCell ref="N249:P250"/>
    <mergeCell ref="Q249:U250"/>
    <mergeCell ref="AA248:AD248"/>
    <mergeCell ref="AE248:AH248"/>
    <mergeCell ref="AI248:AL248"/>
    <mergeCell ref="AM248:AP248"/>
    <mergeCell ref="AQ248:AT248"/>
    <mergeCell ref="B247:J247"/>
    <mergeCell ref="K247:M247"/>
    <mergeCell ref="N247:P247"/>
    <mergeCell ref="Q247:U247"/>
    <mergeCell ref="V247:Z247"/>
    <mergeCell ref="Q245:U246"/>
    <mergeCell ref="V245:Z246"/>
    <mergeCell ref="B246:J246"/>
    <mergeCell ref="B244:J244"/>
    <mergeCell ref="K244:M244"/>
    <mergeCell ref="N244:P244"/>
    <mergeCell ref="Q244:U244"/>
    <mergeCell ref="V244:Z244"/>
    <mergeCell ref="B248:J248"/>
    <mergeCell ref="K248:M248"/>
    <mergeCell ref="N248:P248"/>
    <mergeCell ref="Q248:U248"/>
    <mergeCell ref="V248:Z248"/>
    <mergeCell ref="AA243:AD243"/>
    <mergeCell ref="AE243:AH243"/>
    <mergeCell ref="AI243:AL243"/>
    <mergeCell ref="AM243:AP243"/>
    <mergeCell ref="AQ243:AT243"/>
    <mergeCell ref="B243:J243"/>
    <mergeCell ref="K243:M243"/>
    <mergeCell ref="N243:P243"/>
    <mergeCell ref="Q243:U243"/>
    <mergeCell ref="V243:Z243"/>
    <mergeCell ref="AA242:AD242"/>
    <mergeCell ref="AE242:AH242"/>
    <mergeCell ref="AI242:AL242"/>
    <mergeCell ref="AM242:AP242"/>
    <mergeCell ref="AQ242:AT242"/>
    <mergeCell ref="B242:J242"/>
    <mergeCell ref="K242:M242"/>
    <mergeCell ref="N242:P242"/>
    <mergeCell ref="Q242:U242"/>
    <mergeCell ref="V242:Z242"/>
    <mergeCell ref="AA241:AD241"/>
    <mergeCell ref="AE241:AH241"/>
    <mergeCell ref="AI241:AL241"/>
    <mergeCell ref="AM241:AP241"/>
    <mergeCell ref="AQ241:AT241"/>
    <mergeCell ref="B241:J241"/>
    <mergeCell ref="K241:M241"/>
    <mergeCell ref="N241:P241"/>
    <mergeCell ref="Q241:U241"/>
    <mergeCell ref="V241:Z241"/>
    <mergeCell ref="AE239:AH239"/>
    <mergeCell ref="AI239:AL239"/>
    <mergeCell ref="AM239:AP239"/>
    <mergeCell ref="AQ239:AT239"/>
    <mergeCell ref="B240:J240"/>
    <mergeCell ref="K240:M240"/>
    <mergeCell ref="N240:P240"/>
    <mergeCell ref="Q240:U240"/>
    <mergeCell ref="V240:Z240"/>
    <mergeCell ref="AA240:AD240"/>
    <mergeCell ref="AE240:AH240"/>
    <mergeCell ref="AI240:AL240"/>
    <mergeCell ref="AM240:AP240"/>
    <mergeCell ref="AQ240:AT240"/>
    <mergeCell ref="B239:J239"/>
    <mergeCell ref="K239:M239"/>
    <mergeCell ref="N239:P239"/>
    <mergeCell ref="Q239:U239"/>
    <mergeCell ref="V239:Z239"/>
    <mergeCell ref="AA239:AD239"/>
    <mergeCell ref="B237:J237"/>
    <mergeCell ref="K237:M238"/>
    <mergeCell ref="N237:P238"/>
    <mergeCell ref="Q237:U238"/>
    <mergeCell ref="V237:Z238"/>
    <mergeCell ref="B238:J238"/>
    <mergeCell ref="B235:AT235"/>
    <mergeCell ref="B236:J236"/>
    <mergeCell ref="K236:M236"/>
    <mergeCell ref="N236:P236"/>
    <mergeCell ref="Q236:U236"/>
    <mergeCell ref="V236:Z236"/>
    <mergeCell ref="AA236:AD236"/>
    <mergeCell ref="AE236:AH236"/>
    <mergeCell ref="AI236:AL236"/>
    <mergeCell ref="AM236:AP236"/>
    <mergeCell ref="AQ236:AT236"/>
    <mergeCell ref="AA237:AD238"/>
    <mergeCell ref="AE237:AH238"/>
    <mergeCell ref="AI237:AL238"/>
    <mergeCell ref="AM237:AP238"/>
    <mergeCell ref="AQ237:AT238"/>
    <mergeCell ref="AA234:AD234"/>
    <mergeCell ref="AE234:AH234"/>
    <mergeCell ref="AI234:AL234"/>
    <mergeCell ref="AM234:AP234"/>
    <mergeCell ref="AQ234:AT234"/>
    <mergeCell ref="B228:AT228"/>
    <mergeCell ref="B229:AT229"/>
    <mergeCell ref="B230:J233"/>
    <mergeCell ref="K230:M233"/>
    <mergeCell ref="N230:P233"/>
    <mergeCell ref="Q230:AT230"/>
    <mergeCell ref="Q231:U233"/>
    <mergeCell ref="V231:AT231"/>
    <mergeCell ref="V232:Z233"/>
    <mergeCell ref="AA232:AD233"/>
    <mergeCell ref="AE232:AH233"/>
    <mergeCell ref="AI232:AL233"/>
    <mergeCell ref="AM232:AT232"/>
    <mergeCell ref="AM233:AP233"/>
    <mergeCell ref="AQ233:AT233"/>
    <mergeCell ref="B234:J234"/>
    <mergeCell ref="K234:M234"/>
    <mergeCell ref="N234:P234"/>
    <mergeCell ref="Q234:U234"/>
    <mergeCell ref="AM287:AP287"/>
    <mergeCell ref="AQ287:AT287"/>
    <mergeCell ref="AA288:AD288"/>
    <mergeCell ref="B284:J284"/>
    <mergeCell ref="K284:M284"/>
    <mergeCell ref="AQ281:AT282"/>
    <mergeCell ref="AA283:AD283"/>
    <mergeCell ref="AE283:AH283"/>
    <mergeCell ref="AI283:AL283"/>
    <mergeCell ref="AM283:AP283"/>
    <mergeCell ref="AQ283:AT283"/>
    <mergeCell ref="AM281:AP282"/>
    <mergeCell ref="B281:J281"/>
    <mergeCell ref="K281:M282"/>
    <mergeCell ref="N281:P282"/>
    <mergeCell ref="Q281:U282"/>
    <mergeCell ref="B282:J282"/>
    <mergeCell ref="B283:J283"/>
    <mergeCell ref="K283:M283"/>
    <mergeCell ref="N283:P283"/>
    <mergeCell ref="Q283:U283"/>
    <mergeCell ref="V283:Z283"/>
    <mergeCell ref="V281:Z282"/>
    <mergeCell ref="AA281:AD282"/>
    <mergeCell ref="B278:J278"/>
    <mergeCell ref="K278:M278"/>
    <mergeCell ref="AI278:AL278"/>
    <mergeCell ref="AM278:AP278"/>
    <mergeCell ref="AQ278:AT278"/>
    <mergeCell ref="AI279:AL280"/>
    <mergeCell ref="AM279:AP280"/>
    <mergeCell ref="AQ279:AT280"/>
    <mergeCell ref="B275:J275"/>
    <mergeCell ref="K275:M275"/>
    <mergeCell ref="B277:J277"/>
    <mergeCell ref="N275:P275"/>
    <mergeCell ref="Q275:U275"/>
    <mergeCell ref="V275:Z275"/>
    <mergeCell ref="AA275:AD275"/>
    <mergeCell ref="AE275:AH275"/>
    <mergeCell ref="B280:J280"/>
    <mergeCell ref="N279:P280"/>
    <mergeCell ref="Q279:U280"/>
    <mergeCell ref="V279:Z280"/>
    <mergeCell ref="AA279:AD280"/>
    <mergeCell ref="AE279:AH280"/>
    <mergeCell ref="B279:J279"/>
    <mergeCell ref="K279:M280"/>
    <mergeCell ref="AA271:AD272"/>
    <mergeCell ref="AE271:AH272"/>
    <mergeCell ref="AI271:AL272"/>
    <mergeCell ref="AM271:AP272"/>
    <mergeCell ref="AQ271:AT272"/>
    <mergeCell ref="AA273:AD273"/>
    <mergeCell ref="AA270:AD270"/>
    <mergeCell ref="AE270:AH270"/>
    <mergeCell ref="AI270:AL270"/>
    <mergeCell ref="AM270:AP270"/>
    <mergeCell ref="AQ270:AT270"/>
    <mergeCell ref="AE273:AH273"/>
    <mergeCell ref="AI273:AL273"/>
    <mergeCell ref="AM273:AP273"/>
    <mergeCell ref="AQ273:AT273"/>
    <mergeCell ref="AA267:AD267"/>
    <mergeCell ref="AE267:AH267"/>
    <mergeCell ref="AI267:AL267"/>
    <mergeCell ref="AM267:AP267"/>
    <mergeCell ref="AQ267:AT267"/>
    <mergeCell ref="AA268:AD268"/>
    <mergeCell ref="B264:J264"/>
    <mergeCell ref="K264:M264"/>
    <mergeCell ref="AA261:AD261"/>
    <mergeCell ref="AE261:AH261"/>
    <mergeCell ref="AI261:AL261"/>
    <mergeCell ref="AM261:AP261"/>
    <mergeCell ref="AQ261:AT261"/>
    <mergeCell ref="AA262:AD262"/>
    <mergeCell ref="AE262:AH262"/>
    <mergeCell ref="AI262:AL262"/>
    <mergeCell ref="AM262:AP262"/>
    <mergeCell ref="AQ262:AT262"/>
    <mergeCell ref="B263:J263"/>
    <mergeCell ref="K263:M263"/>
    <mergeCell ref="N263:P263"/>
    <mergeCell ref="Q263:U263"/>
    <mergeCell ref="V263:Z263"/>
    <mergeCell ref="AA263:AD263"/>
    <mergeCell ref="AA257:AD257"/>
    <mergeCell ref="AE257:AH257"/>
    <mergeCell ref="AI257:AL257"/>
    <mergeCell ref="AM257:AP257"/>
    <mergeCell ref="AQ257:AT257"/>
    <mergeCell ref="B256:J256"/>
    <mergeCell ref="AA245:AD246"/>
    <mergeCell ref="AE245:AH246"/>
    <mergeCell ref="AI245:AL246"/>
    <mergeCell ref="AM245:AP246"/>
    <mergeCell ref="AQ245:AT246"/>
    <mergeCell ref="AA247:AD247"/>
    <mergeCell ref="AQ253:AT254"/>
    <mergeCell ref="AQ255:AT255"/>
    <mergeCell ref="AA256:AD256"/>
    <mergeCell ref="AE256:AH256"/>
    <mergeCell ref="B253:J253"/>
    <mergeCell ref="K253:M254"/>
    <mergeCell ref="AI256:AL256"/>
    <mergeCell ref="AM256:AP256"/>
    <mergeCell ref="AQ256:AT256"/>
    <mergeCell ref="B245:J245"/>
    <mergeCell ref="K245:M246"/>
    <mergeCell ref="N245:P246"/>
    <mergeCell ref="AA244:AD244"/>
    <mergeCell ref="AE244:AH244"/>
    <mergeCell ref="AI244:AL244"/>
    <mergeCell ref="AM244:AP244"/>
    <mergeCell ref="AQ244:AT244"/>
    <mergeCell ref="AE247:AH247"/>
    <mergeCell ref="AI247:AL247"/>
    <mergeCell ref="AM247:AP247"/>
    <mergeCell ref="AQ247:AT247"/>
    <mergeCell ref="V234:Z234"/>
    <mergeCell ref="H44:H45"/>
    <mergeCell ref="I44:I45"/>
    <mergeCell ref="G37:H38"/>
    <mergeCell ref="I37:I38"/>
    <mergeCell ref="H39:H40"/>
    <mergeCell ref="I39:I40"/>
    <mergeCell ref="H41:H43"/>
    <mergeCell ref="I41:I43"/>
    <mergeCell ref="B53:I53"/>
    <mergeCell ref="M58:M59"/>
    <mergeCell ref="B176:I176"/>
    <mergeCell ref="C215:D215"/>
    <mergeCell ref="E215:F215"/>
    <mergeCell ref="C216:D216"/>
    <mergeCell ref="E216:F216"/>
    <mergeCell ref="F212:G212"/>
    <mergeCell ref="C213:D213"/>
    <mergeCell ref="F213:G213"/>
    <mergeCell ref="M88:N88"/>
    <mergeCell ref="M89:N89"/>
    <mergeCell ref="M97:N97"/>
    <mergeCell ref="M119:N119"/>
    <mergeCell ref="M120:N120"/>
    <mergeCell ref="G33:H34"/>
    <mergeCell ref="I33:I34"/>
    <mergeCell ref="C34:F34"/>
    <mergeCell ref="C35:F35"/>
    <mergeCell ref="H35:H36"/>
    <mergeCell ref="I35:I36"/>
    <mergeCell ref="G17:I17"/>
    <mergeCell ref="G19:H19"/>
    <mergeCell ref="B25:I25"/>
    <mergeCell ref="B26:I26"/>
    <mergeCell ref="H31:H32"/>
    <mergeCell ref="I31:I32"/>
    <mergeCell ref="G10:H10"/>
    <mergeCell ref="G12:I12"/>
    <mergeCell ref="G13:I13"/>
    <mergeCell ref="G14:I14"/>
    <mergeCell ref="G16:I16"/>
    <mergeCell ref="G3:I3"/>
    <mergeCell ref="G4:I4"/>
    <mergeCell ref="G5:I5"/>
    <mergeCell ref="G7:I7"/>
    <mergeCell ref="G8:I8"/>
    <mergeCell ref="C212:E212"/>
    <mergeCell ref="A178:A179"/>
    <mergeCell ref="D178:D179"/>
    <mergeCell ref="E178:E179"/>
    <mergeCell ref="F178:I178"/>
    <mergeCell ref="B55:B56"/>
    <mergeCell ref="C55:C56"/>
    <mergeCell ref="D55:D56"/>
    <mergeCell ref="E55:E56"/>
    <mergeCell ref="F55:I55"/>
    <mergeCell ref="C178:C179"/>
  </mergeCells>
  <pageMargins left="0" right="0.19685039370078741" top="0.39370078740157483" bottom="0" header="0" footer="0"/>
  <pageSetup paperSize="9" scale="65" fitToHeight="0" orientation="portrait" r:id="rId1"/>
  <rowBreaks count="4" manualBreakCount="4">
    <brk id="88" max="8" man="1"/>
    <brk id="120" max="8" man="1"/>
    <brk id="174" max="8" man="1"/>
    <brk id="218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CC"/>
    <pageSetUpPr fitToPage="1"/>
  </sheetPr>
  <dimension ref="A1:P241"/>
  <sheetViews>
    <sheetView showZeros="0" workbookViewId="0">
      <pane xSplit="8" ySplit="4" topLeftCell="I176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ColWidth="9.140625" defaultRowHeight="15" x14ac:dyDescent="0.25"/>
  <cols>
    <col min="1" max="1" width="48.85546875" style="45" customWidth="1"/>
    <col min="2" max="2" width="5.5703125" style="43" customWidth="1"/>
    <col min="3" max="3" width="4.85546875" style="87" customWidth="1"/>
    <col min="4" max="4" width="5.28515625" style="87" bestFit="1" customWidth="1"/>
    <col min="5" max="5" width="6.85546875" style="87" customWidth="1"/>
    <col min="6" max="8" width="16.85546875" style="43" hidden="1" customWidth="1"/>
    <col min="9" max="9" width="15.42578125" style="43" customWidth="1"/>
    <col min="10" max="11" width="15.42578125" style="43" bestFit="1" customWidth="1"/>
    <col min="12" max="12" width="13.140625" style="43" bestFit="1" customWidth="1"/>
    <col min="13" max="13" width="14" style="43" customWidth="1"/>
    <col min="14" max="14" width="15.5703125" style="43" customWidth="1"/>
    <col min="15" max="15" width="13.85546875" style="45" bestFit="1" customWidth="1"/>
    <col min="16" max="16" width="30.140625" style="45" customWidth="1"/>
    <col min="17" max="16384" width="9.140625" style="45"/>
  </cols>
  <sheetData>
    <row r="1" spans="1:16" x14ac:dyDescent="0.25">
      <c r="A1" s="40" t="s">
        <v>269</v>
      </c>
      <c r="B1" s="41"/>
      <c r="C1" s="42"/>
      <c r="D1" s="42"/>
      <c r="E1" s="42"/>
    </row>
    <row r="2" spans="1:16" x14ac:dyDescent="0.25">
      <c r="A2" s="582" t="s">
        <v>617</v>
      </c>
      <c r="B2" s="585" t="s">
        <v>270</v>
      </c>
      <c r="C2" s="588" t="s">
        <v>271</v>
      </c>
      <c r="D2" s="588" t="s">
        <v>272</v>
      </c>
      <c r="E2" s="588" t="s">
        <v>162</v>
      </c>
      <c r="F2" s="578" t="s">
        <v>273</v>
      </c>
      <c r="G2" s="578"/>
      <c r="H2" s="578"/>
      <c r="I2" s="578" t="s">
        <v>274</v>
      </c>
      <c r="J2" s="578"/>
      <c r="K2" s="578"/>
      <c r="L2" s="579" t="s">
        <v>275</v>
      </c>
      <c r="M2" s="580"/>
      <c r="N2" s="581"/>
    </row>
    <row r="3" spans="1:16" s="47" customFormat="1" ht="14.25" x14ac:dyDescent="0.2">
      <c r="A3" s="583"/>
      <c r="B3" s="586"/>
      <c r="C3" s="589"/>
      <c r="D3" s="589"/>
      <c r="E3" s="589"/>
      <c r="F3" s="46">
        <v>2019</v>
      </c>
      <c r="G3" s="46">
        <f>F3+1</f>
        <v>2020</v>
      </c>
      <c r="H3" s="46">
        <f>G3+1</f>
        <v>2021</v>
      </c>
      <c r="I3" s="46">
        <v>2021</v>
      </c>
      <c r="J3" s="46">
        <f>I3+1</f>
        <v>2022</v>
      </c>
      <c r="K3" s="46">
        <f>J3+1</f>
        <v>2023</v>
      </c>
      <c r="L3" s="46">
        <v>2021</v>
      </c>
      <c r="M3" s="46">
        <f>L3+1</f>
        <v>2022</v>
      </c>
      <c r="N3" s="46">
        <f>M3+1</f>
        <v>2023</v>
      </c>
    </row>
    <row r="4" spans="1:16" s="47" customFormat="1" ht="14.25" x14ac:dyDescent="0.2">
      <c r="A4" s="584"/>
      <c r="B4" s="587"/>
      <c r="C4" s="590"/>
      <c r="D4" s="590"/>
      <c r="E4" s="590"/>
      <c r="F4" s="48">
        <f t="shared" ref="F4:N4" si="0">SUM(F5,F132,F175)</f>
        <v>15315290.899999999</v>
      </c>
      <c r="G4" s="48">
        <f t="shared" si="0"/>
        <v>6330715.2699999996</v>
      </c>
      <c r="H4" s="48">
        <f t="shared" si="0"/>
        <v>6330715.2699999996</v>
      </c>
      <c r="I4" s="48">
        <f>SUM(I5,I132)</f>
        <v>14042680.550000001</v>
      </c>
      <c r="J4" s="48">
        <f t="shared" ref="J4:L4" si="1">SUM(J5,J132)</f>
        <v>13966614.27</v>
      </c>
      <c r="K4" s="48">
        <f t="shared" si="1"/>
        <v>13966614.27</v>
      </c>
      <c r="L4" s="48">
        <f t="shared" si="1"/>
        <v>338890.64</v>
      </c>
      <c r="M4" s="48">
        <f t="shared" si="0"/>
        <v>0</v>
      </c>
      <c r="N4" s="48">
        <f t="shared" si="0"/>
        <v>0</v>
      </c>
    </row>
    <row r="5" spans="1:16" s="47" customFormat="1" ht="14.25" x14ac:dyDescent="0.2">
      <c r="A5" s="49" t="s">
        <v>276</v>
      </c>
      <c r="B5" s="50"/>
      <c r="C5" s="51" t="s">
        <v>26</v>
      </c>
      <c r="D5" s="51" t="s">
        <v>26</v>
      </c>
      <c r="E5" s="51" t="s">
        <v>26</v>
      </c>
      <c r="F5" s="48">
        <f t="shared" ref="F5:H5" si="2">SUM(F6,F63,F70,F72,F92,F112)</f>
        <v>15315290.899999999</v>
      </c>
      <c r="G5" s="48">
        <f t="shared" si="2"/>
        <v>6330715.2699999996</v>
      </c>
      <c r="H5" s="48">
        <f t="shared" si="2"/>
        <v>6330715.2699999996</v>
      </c>
      <c r="I5" s="48">
        <f>SUM(I6,I63,I70,I72,I92,I112,I67)</f>
        <v>14016450.23</v>
      </c>
      <c r="J5" s="48">
        <f t="shared" ref="J5:N5" si="3">SUM(J6,J63,J70,J72,J92,J112,J67)</f>
        <v>13966614.27</v>
      </c>
      <c r="K5" s="48">
        <f t="shared" si="3"/>
        <v>13966614.27</v>
      </c>
      <c r="L5" s="48">
        <f t="shared" si="3"/>
        <v>338890.64</v>
      </c>
      <c r="M5" s="48">
        <f t="shared" si="3"/>
        <v>0</v>
      </c>
      <c r="N5" s="48">
        <f t="shared" si="3"/>
        <v>0</v>
      </c>
    </row>
    <row r="6" spans="1:16" s="199" customFormat="1" ht="14.25" x14ac:dyDescent="0.2">
      <c r="A6" s="153" t="s">
        <v>619</v>
      </c>
      <c r="B6" s="153"/>
      <c r="C6" s="154" t="s">
        <v>26</v>
      </c>
      <c r="D6" s="154" t="s">
        <v>26</v>
      </c>
      <c r="E6" s="154" t="s">
        <v>26</v>
      </c>
      <c r="F6" s="155">
        <f>SUM(F7,F8,F9,F10,F11,F12,F13,F23,F20,F41,F52,F39,F53,F54,F55,F56,F57,F58,F17,F22)</f>
        <v>6302466.2599999998</v>
      </c>
      <c r="G6" s="155">
        <f t="shared" ref="G6:H6" si="4">SUM(G7,G8,G9,G10,G11,G12,G13,G23,G20,G41,G52,G39,G53,G54,G55,G56,G57,G58,G17,G22)</f>
        <v>6184152.5899999999</v>
      </c>
      <c r="H6" s="155">
        <f t="shared" si="4"/>
        <v>6184152.5899999999</v>
      </c>
      <c r="I6" s="155">
        <f>SUM(I7,I8,I9,I10,I11,I12,I13,I23,I41,I52,I53,I54,I55,I56,I57,I58,I17,I22)</f>
        <v>6221399.5899999999</v>
      </c>
      <c r="J6" s="155">
        <f t="shared" ref="J6:K6" si="5">SUM(J7,J8,J9,J10,J11,J12,J13,J23,J41,J52,J53,J54,J55,J56,J57,J58,J17,J22)</f>
        <v>6184152.5899999999</v>
      </c>
      <c r="K6" s="155">
        <f t="shared" si="5"/>
        <v>6184152.5899999999</v>
      </c>
      <c r="L6" s="155">
        <f t="shared" ref="L6:N6" si="6">SUM(L7,L8,L9,L10,L11,L12,L13,L23,L20,L41,L52,L53,L54,L55,L56,L57,L58,L17,L22)</f>
        <v>9142</v>
      </c>
      <c r="M6" s="155">
        <f t="shared" si="6"/>
        <v>0</v>
      </c>
      <c r="N6" s="155">
        <f t="shared" si="6"/>
        <v>0</v>
      </c>
      <c r="O6" s="198" t="s">
        <v>277</v>
      </c>
      <c r="P6" s="198" t="s">
        <v>278</v>
      </c>
    </row>
    <row r="7" spans="1:16" s="40" customFormat="1" ht="14.25" x14ac:dyDescent="0.2">
      <c r="A7" s="62" t="s">
        <v>279</v>
      </c>
      <c r="B7" s="62"/>
      <c r="C7" s="63" t="s">
        <v>280</v>
      </c>
      <c r="D7" s="63" t="s">
        <v>281</v>
      </c>
      <c r="E7" s="63" t="s">
        <v>282</v>
      </c>
      <c r="F7" s="64">
        <f>I7+L7</f>
        <v>4009542</v>
      </c>
      <c r="G7" s="64">
        <f t="shared" ref="G7:H12" si="7">J7+M7</f>
        <v>4000400</v>
      </c>
      <c r="H7" s="64">
        <f t="shared" si="7"/>
        <v>4000400</v>
      </c>
      <c r="I7" s="65">
        <v>4000400</v>
      </c>
      <c r="J7" s="65">
        <v>4000400</v>
      </c>
      <c r="K7" s="65">
        <v>4000400</v>
      </c>
      <c r="L7" s="64">
        <v>9142</v>
      </c>
      <c r="M7" s="64"/>
      <c r="N7" s="64"/>
    </row>
    <row r="8" spans="1:16" s="40" customFormat="1" ht="14.25" x14ac:dyDescent="0.2">
      <c r="A8" s="62" t="s">
        <v>283</v>
      </c>
      <c r="B8" s="62"/>
      <c r="C8" s="63" t="s">
        <v>280</v>
      </c>
      <c r="D8" s="63" t="s">
        <v>281</v>
      </c>
      <c r="E8" s="63" t="s">
        <v>284</v>
      </c>
      <c r="F8" s="64">
        <f>I8+L8</f>
        <v>0</v>
      </c>
      <c r="G8" s="64">
        <f t="shared" si="7"/>
        <v>0</v>
      </c>
      <c r="H8" s="64">
        <f t="shared" si="7"/>
        <v>0</v>
      </c>
      <c r="I8" s="65"/>
      <c r="J8" s="65"/>
      <c r="K8" s="65"/>
      <c r="L8" s="64"/>
      <c r="M8" s="64"/>
      <c r="N8" s="64"/>
    </row>
    <row r="9" spans="1:16" s="140" customFormat="1" ht="14.25" x14ac:dyDescent="0.2">
      <c r="A9" s="62" t="s">
        <v>285</v>
      </c>
      <c r="B9" s="62" t="s">
        <v>286</v>
      </c>
      <c r="C9" s="63" t="s">
        <v>287</v>
      </c>
      <c r="D9" s="63" t="s">
        <v>288</v>
      </c>
      <c r="E9" s="63" t="s">
        <v>284</v>
      </c>
      <c r="F9" s="64">
        <f t="shared" ref="F9:F12" si="8">I9+L9</f>
        <v>0</v>
      </c>
      <c r="G9" s="64">
        <f t="shared" si="7"/>
        <v>0</v>
      </c>
      <c r="H9" s="64">
        <f t="shared" si="7"/>
        <v>0</v>
      </c>
      <c r="I9" s="65"/>
      <c r="J9" s="65"/>
      <c r="K9" s="65"/>
      <c r="L9" s="64"/>
      <c r="M9" s="64"/>
      <c r="N9" s="64"/>
      <c r="O9" s="139"/>
    </row>
    <row r="10" spans="1:16" s="140" customFormat="1" ht="14.25" x14ac:dyDescent="0.2">
      <c r="A10" s="62" t="s">
        <v>289</v>
      </c>
      <c r="B10" s="62" t="s">
        <v>286</v>
      </c>
      <c r="C10" s="63" t="s">
        <v>287</v>
      </c>
      <c r="D10" s="63" t="s">
        <v>288</v>
      </c>
      <c r="E10" s="63" t="s">
        <v>290</v>
      </c>
      <c r="F10" s="64">
        <f>I10+L10</f>
        <v>0</v>
      </c>
      <c r="G10" s="64">
        <f t="shared" si="7"/>
        <v>0</v>
      </c>
      <c r="H10" s="64">
        <f t="shared" si="7"/>
        <v>0</v>
      </c>
      <c r="I10" s="65"/>
      <c r="J10" s="65"/>
      <c r="K10" s="65"/>
      <c r="L10" s="64"/>
      <c r="M10" s="64"/>
      <c r="N10" s="64"/>
      <c r="O10" s="139"/>
    </row>
    <row r="11" spans="1:16" s="140" customFormat="1" ht="14.25" x14ac:dyDescent="0.2">
      <c r="A11" s="62" t="s">
        <v>291</v>
      </c>
      <c r="B11" s="62" t="s">
        <v>286</v>
      </c>
      <c r="C11" s="63" t="s">
        <v>287</v>
      </c>
      <c r="D11" s="63" t="s">
        <v>288</v>
      </c>
      <c r="E11" s="63" t="s">
        <v>284</v>
      </c>
      <c r="F11" s="64">
        <f t="shared" si="8"/>
        <v>0</v>
      </c>
      <c r="G11" s="64">
        <f t="shared" si="7"/>
        <v>0</v>
      </c>
      <c r="H11" s="64">
        <f t="shared" si="7"/>
        <v>0</v>
      </c>
      <c r="I11" s="65"/>
      <c r="J11" s="65"/>
      <c r="K11" s="65"/>
      <c r="L11" s="64"/>
      <c r="M11" s="64"/>
      <c r="N11" s="64"/>
      <c r="O11" s="139"/>
    </row>
    <row r="12" spans="1:16" s="40" customFormat="1" ht="14.25" x14ac:dyDescent="0.2">
      <c r="A12" s="62" t="s">
        <v>292</v>
      </c>
      <c r="B12" s="62"/>
      <c r="C12" s="63" t="s">
        <v>293</v>
      </c>
      <c r="D12" s="63" t="s">
        <v>294</v>
      </c>
      <c r="E12" s="63" t="s">
        <v>295</v>
      </c>
      <c r="F12" s="64">
        <f t="shared" si="8"/>
        <v>1208100</v>
      </c>
      <c r="G12" s="64">
        <f t="shared" si="7"/>
        <v>1208100</v>
      </c>
      <c r="H12" s="64">
        <f t="shared" si="7"/>
        <v>1208100</v>
      </c>
      <c r="I12" s="65">
        <v>1208100</v>
      </c>
      <c r="J12" s="65">
        <v>1208100</v>
      </c>
      <c r="K12" s="65">
        <v>1208100</v>
      </c>
      <c r="L12" s="64"/>
      <c r="M12" s="64"/>
      <c r="N12" s="64"/>
    </row>
    <row r="13" spans="1:16" s="40" customFormat="1" ht="14.25" x14ac:dyDescent="0.2">
      <c r="A13" s="62" t="s">
        <v>296</v>
      </c>
      <c r="B13" s="62"/>
      <c r="C13" s="63"/>
      <c r="D13" s="63" t="s">
        <v>297</v>
      </c>
      <c r="E13" s="63" t="s">
        <v>298</v>
      </c>
      <c r="F13" s="64">
        <f>SUM(F14:F15)</f>
        <v>17361.75</v>
      </c>
      <c r="G13" s="64">
        <f t="shared" ref="G13:N13" si="9">SUM(G14:G15)</f>
        <v>17361.75</v>
      </c>
      <c r="H13" s="64">
        <f t="shared" si="9"/>
        <v>17361.75</v>
      </c>
      <c r="I13" s="65">
        <f t="shared" si="9"/>
        <v>17361.75</v>
      </c>
      <c r="J13" s="65">
        <f t="shared" si="9"/>
        <v>17361.75</v>
      </c>
      <c r="K13" s="65">
        <f t="shared" si="9"/>
        <v>17361.75</v>
      </c>
      <c r="L13" s="64">
        <f t="shared" si="9"/>
        <v>0</v>
      </c>
      <c r="M13" s="64">
        <f t="shared" si="9"/>
        <v>0</v>
      </c>
      <c r="N13" s="64">
        <f t="shared" si="9"/>
        <v>0</v>
      </c>
    </row>
    <row r="14" spans="1:16" ht="30" x14ac:dyDescent="0.25">
      <c r="A14" s="55" t="s">
        <v>299</v>
      </c>
      <c r="B14" s="55"/>
      <c r="C14" s="56" t="s">
        <v>300</v>
      </c>
      <c r="D14" s="56" t="s">
        <v>297</v>
      </c>
      <c r="E14" s="56" t="s">
        <v>298</v>
      </c>
      <c r="F14" s="57">
        <f t="shared" ref="F14:H22" si="10">I14+L14</f>
        <v>5361.75</v>
      </c>
      <c r="G14" s="57">
        <f t="shared" si="10"/>
        <v>5361.75</v>
      </c>
      <c r="H14" s="57">
        <f t="shared" si="10"/>
        <v>5361.75</v>
      </c>
      <c r="I14" s="58">
        <f>17361.75-I15</f>
        <v>5361.75</v>
      </c>
      <c r="J14" s="58">
        <f t="shared" ref="J14:K14" si="11">17361.75-J15</f>
        <v>5361.75</v>
      </c>
      <c r="K14" s="58">
        <f t="shared" si="11"/>
        <v>5361.75</v>
      </c>
      <c r="L14" s="57"/>
      <c r="M14" s="57"/>
      <c r="N14" s="57"/>
      <c r="O14" s="59"/>
    </row>
    <row r="15" spans="1:16" s="61" customFormat="1" x14ac:dyDescent="0.25">
      <c r="A15" s="55" t="s">
        <v>301</v>
      </c>
      <c r="B15" s="55" t="s">
        <v>286</v>
      </c>
      <c r="C15" s="56" t="s">
        <v>287</v>
      </c>
      <c r="D15" s="56" t="s">
        <v>297</v>
      </c>
      <c r="E15" s="56" t="s">
        <v>298</v>
      </c>
      <c r="F15" s="57">
        <f t="shared" si="10"/>
        <v>12000</v>
      </c>
      <c r="G15" s="57">
        <f t="shared" si="10"/>
        <v>12000</v>
      </c>
      <c r="H15" s="57">
        <f t="shared" si="10"/>
        <v>12000</v>
      </c>
      <c r="I15" s="58">
        <f>12000</f>
        <v>12000</v>
      </c>
      <c r="J15" s="58">
        <f>12000</f>
        <v>12000</v>
      </c>
      <c r="K15" s="58">
        <f>12000</f>
        <v>12000</v>
      </c>
      <c r="L15" s="57"/>
      <c r="M15" s="57"/>
      <c r="N15" s="57"/>
      <c r="O15" s="60"/>
    </row>
    <row r="16" spans="1:16" s="140" customFormat="1" ht="14.25" x14ac:dyDescent="0.2">
      <c r="A16" s="62" t="s">
        <v>302</v>
      </c>
      <c r="B16" s="62" t="s">
        <v>286</v>
      </c>
      <c r="C16" s="63" t="s">
        <v>287</v>
      </c>
      <c r="D16" s="63" t="s">
        <v>297</v>
      </c>
      <c r="E16" s="63" t="s">
        <v>303</v>
      </c>
      <c r="F16" s="64">
        <f t="shared" si="10"/>
        <v>0</v>
      </c>
      <c r="G16" s="64">
        <f>J16+M16</f>
        <v>0</v>
      </c>
      <c r="H16" s="64">
        <f t="shared" si="10"/>
        <v>0</v>
      </c>
      <c r="I16" s="65"/>
      <c r="J16" s="65"/>
      <c r="K16" s="65"/>
      <c r="L16" s="64"/>
      <c r="M16" s="64"/>
      <c r="N16" s="64"/>
      <c r="O16" s="139"/>
    </row>
    <row r="17" spans="1:16" s="41" customFormat="1" ht="28.5" x14ac:dyDescent="0.2">
      <c r="A17" s="62" t="s">
        <v>747</v>
      </c>
      <c r="B17" s="62"/>
      <c r="C17" s="63" t="s">
        <v>304</v>
      </c>
      <c r="D17" s="63" t="s">
        <v>752</v>
      </c>
      <c r="E17" s="63" t="s">
        <v>305</v>
      </c>
      <c r="F17" s="64">
        <f>I17+L17</f>
        <v>675741.38</v>
      </c>
      <c r="G17" s="64">
        <f t="shared" ref="G17:H17" si="12">J17+M17</f>
        <v>670261.38</v>
      </c>
      <c r="H17" s="64">
        <f t="shared" si="12"/>
        <v>670261.38</v>
      </c>
      <c r="I17" s="65">
        <f>SUM(I18:I21)</f>
        <v>675741.38</v>
      </c>
      <c r="J17" s="65">
        <f t="shared" ref="J17:K17" si="13">SUM(J18:J21)</f>
        <v>670261.38</v>
      </c>
      <c r="K17" s="65">
        <f t="shared" si="13"/>
        <v>670261.38</v>
      </c>
      <c r="L17" s="64"/>
      <c r="M17" s="64"/>
      <c r="N17" s="64"/>
      <c r="O17" s="265"/>
    </row>
    <row r="18" spans="1:16" s="43" customFormat="1" x14ac:dyDescent="0.25">
      <c r="A18" s="67" t="s">
        <v>748</v>
      </c>
      <c r="B18" s="67"/>
      <c r="C18" s="56" t="s">
        <v>306</v>
      </c>
      <c r="D18" s="68" t="s">
        <v>749</v>
      </c>
      <c r="E18" s="56" t="s">
        <v>305</v>
      </c>
      <c r="F18" s="57">
        <f>I18+L18</f>
        <v>353924.64999999997</v>
      </c>
      <c r="G18" s="57">
        <f>J18+M18</f>
        <v>410712.55</v>
      </c>
      <c r="H18" s="57">
        <f>K18+N18</f>
        <v>410712.55</v>
      </c>
      <c r="I18" s="58">
        <f>410712.55-56787.9</f>
        <v>353924.64999999997</v>
      </c>
      <c r="J18" s="58">
        <v>410712.55</v>
      </c>
      <c r="K18" s="58">
        <v>410712.55</v>
      </c>
      <c r="L18" s="57"/>
      <c r="M18" s="57"/>
      <c r="N18" s="57"/>
      <c r="O18" s="237"/>
    </row>
    <row r="19" spans="1:16" s="43" customFormat="1" x14ac:dyDescent="0.25">
      <c r="A19" s="67" t="s">
        <v>750</v>
      </c>
      <c r="B19" s="67"/>
      <c r="C19" s="56" t="s">
        <v>306</v>
      </c>
      <c r="D19" s="68" t="s">
        <v>749</v>
      </c>
      <c r="E19" s="56" t="s">
        <v>305</v>
      </c>
      <c r="F19" s="57">
        <f>I19+L19</f>
        <v>193104.16</v>
      </c>
      <c r="G19" s="57"/>
      <c r="H19" s="57"/>
      <c r="I19" s="58">
        <v>193104.16</v>
      </c>
      <c r="J19" s="58">
        <v>193104.16</v>
      </c>
      <c r="K19" s="58">
        <v>193104.16</v>
      </c>
      <c r="L19" s="57"/>
      <c r="M19" s="57"/>
      <c r="N19" s="57"/>
      <c r="O19" s="237"/>
    </row>
    <row r="20" spans="1:16" s="43" customFormat="1" x14ac:dyDescent="0.25">
      <c r="A20" s="67" t="s">
        <v>751</v>
      </c>
      <c r="B20" s="67"/>
      <c r="C20" s="56" t="s">
        <v>306</v>
      </c>
      <c r="D20" s="68" t="s">
        <v>297</v>
      </c>
      <c r="E20" s="56" t="s">
        <v>305</v>
      </c>
      <c r="F20" s="57">
        <f>I20+L20</f>
        <v>71924.67</v>
      </c>
      <c r="G20" s="57"/>
      <c r="H20" s="57"/>
      <c r="I20" s="338">
        <f>66444.67+5480</f>
        <v>71924.67</v>
      </c>
      <c r="J20" s="58">
        <v>66444.67</v>
      </c>
      <c r="K20" s="58">
        <v>66444.67</v>
      </c>
      <c r="L20" s="57"/>
      <c r="M20" s="57"/>
      <c r="N20" s="57"/>
      <c r="O20" s="237"/>
    </row>
    <row r="21" spans="1:16" s="43" customFormat="1" x14ac:dyDescent="0.25">
      <c r="A21" s="67" t="s">
        <v>748</v>
      </c>
      <c r="B21" s="67"/>
      <c r="C21" s="56" t="s">
        <v>306</v>
      </c>
      <c r="D21" s="68" t="s">
        <v>297</v>
      </c>
      <c r="E21" s="56" t="s">
        <v>305</v>
      </c>
      <c r="F21" s="57"/>
      <c r="G21" s="57"/>
      <c r="H21" s="57"/>
      <c r="I21" s="58">
        <v>56787.9</v>
      </c>
      <c r="J21" s="58"/>
      <c r="K21" s="58"/>
      <c r="L21" s="57"/>
      <c r="M21" s="57"/>
      <c r="N21" s="57"/>
      <c r="O21" s="237"/>
    </row>
    <row r="22" spans="1:16" s="140" customFormat="1" ht="14.25" x14ac:dyDescent="0.2">
      <c r="A22" s="136" t="s">
        <v>307</v>
      </c>
      <c r="B22" s="62" t="s">
        <v>286</v>
      </c>
      <c r="C22" s="63" t="s">
        <v>287</v>
      </c>
      <c r="D22" s="137" t="s">
        <v>297</v>
      </c>
      <c r="E22" s="63" t="s">
        <v>308</v>
      </c>
      <c r="F22" s="64">
        <f t="shared" si="10"/>
        <v>1200</v>
      </c>
      <c r="G22" s="64">
        <f t="shared" si="10"/>
        <v>1200</v>
      </c>
      <c r="H22" s="64">
        <f t="shared" si="10"/>
        <v>1200</v>
      </c>
      <c r="I22" s="65">
        <v>1200</v>
      </c>
      <c r="J22" s="65">
        <v>1200</v>
      </c>
      <c r="K22" s="65">
        <v>1200</v>
      </c>
      <c r="L22" s="64"/>
      <c r="M22" s="64"/>
      <c r="N22" s="64"/>
      <c r="O22" s="139"/>
    </row>
    <row r="23" spans="1:16" s="40" customFormat="1" ht="18" customHeight="1" x14ac:dyDescent="0.2">
      <c r="A23" s="62" t="s">
        <v>309</v>
      </c>
      <c r="B23" s="62"/>
      <c r="C23" s="63"/>
      <c r="D23" s="63" t="s">
        <v>297</v>
      </c>
      <c r="E23" s="63" t="s">
        <v>310</v>
      </c>
      <c r="F23" s="65">
        <f>SUM(F24:F38)</f>
        <v>58176.26</v>
      </c>
      <c r="G23" s="65">
        <f t="shared" ref="G23:H23" si="14">SUM(G24:G38)</f>
        <v>58380.46</v>
      </c>
      <c r="H23" s="65">
        <f t="shared" si="14"/>
        <v>58380.46</v>
      </c>
      <c r="I23" s="65">
        <f>SUM(I24:I40)</f>
        <v>58176.26</v>
      </c>
      <c r="J23" s="65">
        <f t="shared" ref="J23:K23" si="15">SUM(J24:J40)</f>
        <v>58380.46</v>
      </c>
      <c r="K23" s="65">
        <f t="shared" si="15"/>
        <v>58380.46</v>
      </c>
      <c r="L23" s="65">
        <f t="shared" ref="L23:N23" si="16">SUM(L24:L38)</f>
        <v>0</v>
      </c>
      <c r="M23" s="65">
        <f t="shared" si="16"/>
        <v>0</v>
      </c>
      <c r="N23" s="65">
        <f t="shared" si="16"/>
        <v>0</v>
      </c>
      <c r="O23" s="66"/>
    </row>
    <row r="24" spans="1:16" ht="30" x14ac:dyDescent="0.25">
      <c r="A24" s="55" t="s">
        <v>311</v>
      </c>
      <c r="B24" s="130"/>
      <c r="C24" s="131" t="s">
        <v>312</v>
      </c>
      <c r="D24" s="131" t="s">
        <v>297</v>
      </c>
      <c r="E24" s="131" t="s">
        <v>310</v>
      </c>
      <c r="F24" s="132">
        <f t="shared" ref="F24:H52" si="17">I24+L24</f>
        <v>4398.57</v>
      </c>
      <c r="G24" s="132">
        <f t="shared" si="17"/>
        <v>4398.57</v>
      </c>
      <c r="H24" s="132">
        <f t="shared" si="17"/>
        <v>4398.57</v>
      </c>
      <c r="I24" s="133">
        <v>4398.57</v>
      </c>
      <c r="J24" s="133">
        <v>4398.57</v>
      </c>
      <c r="K24" s="133">
        <v>4398.57</v>
      </c>
      <c r="L24" s="132"/>
      <c r="M24" s="132"/>
      <c r="N24" s="132"/>
      <c r="O24" s="59"/>
    </row>
    <row r="25" spans="1:16" s="69" customFormat="1" ht="15" customHeight="1" x14ac:dyDescent="0.25">
      <c r="A25" s="55" t="s">
        <v>313</v>
      </c>
      <c r="B25" s="55" t="s">
        <v>314</v>
      </c>
      <c r="C25" s="56" t="s">
        <v>287</v>
      </c>
      <c r="D25" s="56" t="s">
        <v>297</v>
      </c>
      <c r="E25" s="56" t="s">
        <v>310</v>
      </c>
      <c r="F25" s="57">
        <f t="shared" si="17"/>
        <v>0</v>
      </c>
      <c r="G25" s="57">
        <f t="shared" si="17"/>
        <v>0</v>
      </c>
      <c r="H25" s="57">
        <f t="shared" si="17"/>
        <v>0</v>
      </c>
      <c r="I25" s="58"/>
      <c r="J25" s="58"/>
      <c r="K25" s="58"/>
      <c r="L25" s="57"/>
      <c r="M25" s="57"/>
      <c r="N25" s="57"/>
      <c r="O25" s="70"/>
    </row>
    <row r="26" spans="1:16" ht="30" x14ac:dyDescent="0.25">
      <c r="A26" s="55" t="s">
        <v>315</v>
      </c>
      <c r="B26" s="55"/>
      <c r="C26" s="56" t="s">
        <v>316</v>
      </c>
      <c r="D26" s="56" t="s">
        <v>297</v>
      </c>
      <c r="E26" s="56" t="s">
        <v>310</v>
      </c>
      <c r="F26" s="57">
        <f t="shared" si="17"/>
        <v>1854</v>
      </c>
      <c r="G26" s="57">
        <f t="shared" si="17"/>
        <v>1854</v>
      </c>
      <c r="H26" s="57">
        <f t="shared" si="17"/>
        <v>1854</v>
      </c>
      <c r="I26" s="58">
        <v>1854</v>
      </c>
      <c r="J26" s="58">
        <v>1854</v>
      </c>
      <c r="K26" s="58">
        <v>1854</v>
      </c>
      <c r="L26" s="57"/>
      <c r="M26" s="57"/>
      <c r="N26" s="57"/>
      <c r="O26" s="59"/>
    </row>
    <row r="27" spans="1:16" ht="15" customHeight="1" x14ac:dyDescent="0.25">
      <c r="A27" s="55" t="s">
        <v>490</v>
      </c>
      <c r="B27" s="55"/>
      <c r="C27" s="56" t="s">
        <v>316</v>
      </c>
      <c r="D27" s="56" t="s">
        <v>297</v>
      </c>
      <c r="E27" s="56" t="s">
        <v>310</v>
      </c>
      <c r="F27" s="57">
        <f t="shared" si="17"/>
        <v>0</v>
      </c>
      <c r="G27" s="57">
        <f t="shared" si="17"/>
        <v>0</v>
      </c>
      <c r="H27" s="57">
        <f t="shared" si="17"/>
        <v>0</v>
      </c>
      <c r="I27" s="58"/>
      <c r="J27" s="58"/>
      <c r="K27" s="58"/>
      <c r="L27" s="57"/>
      <c r="M27" s="57"/>
      <c r="N27" s="57"/>
      <c r="O27" s="59"/>
    </row>
    <row r="28" spans="1:16" ht="30" x14ac:dyDescent="0.25">
      <c r="A28" s="55" t="s">
        <v>742</v>
      </c>
      <c r="B28" s="55"/>
      <c r="C28" s="56" t="s">
        <v>306</v>
      </c>
      <c r="D28" s="56" t="s">
        <v>297</v>
      </c>
      <c r="E28" s="56" t="s">
        <v>310</v>
      </c>
      <c r="F28" s="57">
        <f t="shared" si="17"/>
        <v>41852.26</v>
      </c>
      <c r="G28" s="57">
        <f t="shared" si="17"/>
        <v>42056.46</v>
      </c>
      <c r="H28" s="57">
        <f t="shared" si="17"/>
        <v>42056.46</v>
      </c>
      <c r="I28" s="58">
        <f>42056.46-204.2</f>
        <v>41852.26</v>
      </c>
      <c r="J28" s="58">
        <v>42056.46</v>
      </c>
      <c r="K28" s="58">
        <v>42056.46</v>
      </c>
      <c r="L28" s="57"/>
      <c r="M28" s="57"/>
      <c r="N28" s="57"/>
      <c r="O28" s="59"/>
      <c r="P28" s="55"/>
    </row>
    <row r="29" spans="1:16" ht="14.25" customHeight="1" x14ac:dyDescent="0.25">
      <c r="A29" s="130" t="s">
        <v>317</v>
      </c>
      <c r="B29" s="130" t="s">
        <v>286</v>
      </c>
      <c r="C29" s="131" t="s">
        <v>287</v>
      </c>
      <c r="D29" s="131" t="s">
        <v>297</v>
      </c>
      <c r="E29" s="131" t="s">
        <v>310</v>
      </c>
      <c r="F29" s="132">
        <f t="shared" si="17"/>
        <v>1377.6</v>
      </c>
      <c r="G29" s="132">
        <f t="shared" si="17"/>
        <v>1377.6</v>
      </c>
      <c r="H29" s="132">
        <f t="shared" si="17"/>
        <v>1377.6</v>
      </c>
      <c r="I29" s="133">
        <v>1377.6</v>
      </c>
      <c r="J29" s="133">
        <v>1377.6</v>
      </c>
      <c r="K29" s="133">
        <v>1377.6</v>
      </c>
      <c r="L29" s="132"/>
      <c r="M29" s="132"/>
      <c r="N29" s="132"/>
      <c r="O29" s="59"/>
    </row>
    <row r="30" spans="1:16" ht="14.25" customHeight="1" x14ac:dyDescent="0.25">
      <c r="A30" s="55" t="s">
        <v>318</v>
      </c>
      <c r="B30" s="55" t="s">
        <v>286</v>
      </c>
      <c r="C30" s="56" t="s">
        <v>287</v>
      </c>
      <c r="D30" s="56" t="s">
        <v>297</v>
      </c>
      <c r="E30" s="56" t="s">
        <v>310</v>
      </c>
      <c r="F30" s="57">
        <f t="shared" si="17"/>
        <v>0</v>
      </c>
      <c r="G30" s="57">
        <f t="shared" si="17"/>
        <v>0</v>
      </c>
      <c r="H30" s="57">
        <f t="shared" si="17"/>
        <v>0</v>
      </c>
      <c r="I30" s="58"/>
      <c r="J30" s="58"/>
      <c r="K30" s="58"/>
      <c r="L30" s="57"/>
      <c r="M30" s="57"/>
      <c r="N30" s="57"/>
      <c r="O30" s="59"/>
    </row>
    <row r="31" spans="1:16" ht="14.25" customHeight="1" x14ac:dyDescent="0.25">
      <c r="A31" s="55" t="s">
        <v>492</v>
      </c>
      <c r="B31" s="55" t="s">
        <v>286</v>
      </c>
      <c r="C31" s="56" t="s">
        <v>287</v>
      </c>
      <c r="D31" s="56" t="s">
        <v>297</v>
      </c>
      <c r="E31" s="56" t="s">
        <v>310</v>
      </c>
      <c r="F31" s="57">
        <f t="shared" si="17"/>
        <v>0</v>
      </c>
      <c r="G31" s="57">
        <f t="shared" si="17"/>
        <v>0</v>
      </c>
      <c r="H31" s="57">
        <f t="shared" si="17"/>
        <v>0</v>
      </c>
      <c r="I31" s="58"/>
      <c r="J31" s="58"/>
      <c r="K31" s="58"/>
      <c r="L31" s="57"/>
      <c r="M31" s="57"/>
      <c r="N31" s="57"/>
      <c r="O31" s="59"/>
    </row>
    <row r="32" spans="1:16" ht="14.25" customHeight="1" x14ac:dyDescent="0.25">
      <c r="A32" s="55" t="s">
        <v>319</v>
      </c>
      <c r="B32" s="55" t="s">
        <v>286</v>
      </c>
      <c r="C32" s="56" t="s">
        <v>287</v>
      </c>
      <c r="D32" s="56" t="s">
        <v>297</v>
      </c>
      <c r="E32" s="56" t="s">
        <v>310</v>
      </c>
      <c r="F32" s="57">
        <f t="shared" si="17"/>
        <v>0</v>
      </c>
      <c r="G32" s="57">
        <f t="shared" si="17"/>
        <v>0</v>
      </c>
      <c r="H32" s="57">
        <f t="shared" si="17"/>
        <v>0</v>
      </c>
      <c r="I32" s="58"/>
      <c r="J32" s="58"/>
      <c r="K32" s="58"/>
      <c r="L32" s="57"/>
      <c r="M32" s="57"/>
      <c r="N32" s="57"/>
      <c r="O32" s="59"/>
    </row>
    <row r="33" spans="1:15" ht="14.25" customHeight="1" x14ac:dyDescent="0.25">
      <c r="A33" s="55" t="s">
        <v>320</v>
      </c>
      <c r="B33" s="55" t="s">
        <v>286</v>
      </c>
      <c r="C33" s="56" t="s">
        <v>287</v>
      </c>
      <c r="D33" s="56" t="s">
        <v>297</v>
      </c>
      <c r="E33" s="56" t="s">
        <v>310</v>
      </c>
      <c r="F33" s="57">
        <f t="shared" si="17"/>
        <v>0</v>
      </c>
      <c r="G33" s="57">
        <f t="shared" si="17"/>
        <v>0</v>
      </c>
      <c r="H33" s="57">
        <f t="shared" si="17"/>
        <v>0</v>
      </c>
      <c r="I33" s="58"/>
      <c r="J33" s="58"/>
      <c r="K33" s="58"/>
      <c r="L33" s="57"/>
      <c r="M33" s="57"/>
      <c r="N33" s="57"/>
      <c r="O33" s="59"/>
    </row>
    <row r="34" spans="1:15" ht="14.25" customHeight="1" x14ac:dyDescent="0.25">
      <c r="A34" s="55" t="s">
        <v>493</v>
      </c>
      <c r="B34" s="55" t="s">
        <v>286</v>
      </c>
      <c r="C34" s="56" t="s">
        <v>287</v>
      </c>
      <c r="D34" s="56" t="s">
        <v>297</v>
      </c>
      <c r="E34" s="56" t="s">
        <v>310</v>
      </c>
      <c r="F34" s="57">
        <f t="shared" si="17"/>
        <v>0</v>
      </c>
      <c r="G34" s="57">
        <f t="shared" si="17"/>
        <v>0</v>
      </c>
      <c r="H34" s="57">
        <f t="shared" si="17"/>
        <v>0</v>
      </c>
      <c r="I34" s="58"/>
      <c r="J34" s="58"/>
      <c r="K34" s="58"/>
      <c r="L34" s="57"/>
      <c r="M34" s="57"/>
      <c r="N34" s="57"/>
      <c r="O34" s="59"/>
    </row>
    <row r="35" spans="1:15" ht="14.25" customHeight="1" x14ac:dyDescent="0.25">
      <c r="A35" s="55" t="s">
        <v>491</v>
      </c>
      <c r="B35" s="55" t="s">
        <v>286</v>
      </c>
      <c r="C35" s="56" t="s">
        <v>287</v>
      </c>
      <c r="D35" s="56" t="s">
        <v>297</v>
      </c>
      <c r="E35" s="56" t="s">
        <v>310</v>
      </c>
      <c r="F35" s="57">
        <f t="shared" si="17"/>
        <v>0</v>
      </c>
      <c r="G35" s="57">
        <f t="shared" si="17"/>
        <v>0</v>
      </c>
      <c r="H35" s="57">
        <f t="shared" si="17"/>
        <v>0</v>
      </c>
      <c r="I35" s="58"/>
      <c r="J35" s="58"/>
      <c r="K35" s="58"/>
      <c r="L35" s="57"/>
      <c r="M35" s="57"/>
      <c r="N35" s="57"/>
      <c r="O35" s="59"/>
    </row>
    <row r="36" spans="1:15" ht="14.25" customHeight="1" x14ac:dyDescent="0.25">
      <c r="A36" s="55" t="s">
        <v>494</v>
      </c>
      <c r="B36" s="55" t="s">
        <v>286</v>
      </c>
      <c r="C36" s="56" t="s">
        <v>287</v>
      </c>
      <c r="D36" s="56" t="s">
        <v>297</v>
      </c>
      <c r="E36" s="56" t="s">
        <v>310</v>
      </c>
      <c r="F36" s="57">
        <f t="shared" si="17"/>
        <v>0</v>
      </c>
      <c r="G36" s="57">
        <f t="shared" si="17"/>
        <v>0</v>
      </c>
      <c r="H36" s="57">
        <f t="shared" si="17"/>
        <v>0</v>
      </c>
      <c r="I36" s="58"/>
      <c r="J36" s="58"/>
      <c r="K36" s="58"/>
      <c r="L36" s="57"/>
      <c r="M36" s="57"/>
      <c r="N36" s="57"/>
      <c r="O36" s="59"/>
    </row>
    <row r="37" spans="1:15" ht="14.25" customHeight="1" x14ac:dyDescent="0.25">
      <c r="A37" s="55" t="s">
        <v>321</v>
      </c>
      <c r="B37" s="55" t="s">
        <v>286</v>
      </c>
      <c r="C37" s="56" t="s">
        <v>287</v>
      </c>
      <c r="D37" s="56" t="s">
        <v>297</v>
      </c>
      <c r="E37" s="56" t="s">
        <v>310</v>
      </c>
      <c r="F37" s="57">
        <f t="shared" si="17"/>
        <v>8693.83</v>
      </c>
      <c r="G37" s="57">
        <f t="shared" si="17"/>
        <v>8693.83</v>
      </c>
      <c r="H37" s="57">
        <f t="shared" si="17"/>
        <v>8693.83</v>
      </c>
      <c r="I37" s="58">
        <v>8693.83</v>
      </c>
      <c r="J37" s="58">
        <v>8693.83</v>
      </c>
      <c r="K37" s="58">
        <v>8693.83</v>
      </c>
      <c r="L37" s="57"/>
      <c r="M37" s="57"/>
      <c r="N37" s="57"/>
      <c r="O37" s="59"/>
    </row>
    <row r="38" spans="1:15" ht="14.25" customHeight="1" x14ac:dyDescent="0.25">
      <c r="A38" s="55" t="s">
        <v>403</v>
      </c>
      <c r="B38" s="55" t="s">
        <v>286</v>
      </c>
      <c r="C38" s="56" t="s">
        <v>287</v>
      </c>
      <c r="D38" s="56" t="s">
        <v>297</v>
      </c>
      <c r="E38" s="56" t="s">
        <v>310</v>
      </c>
      <c r="F38" s="57">
        <f>I38+L38</f>
        <v>0</v>
      </c>
      <c r="G38" s="57">
        <f t="shared" si="17"/>
        <v>0</v>
      </c>
      <c r="H38" s="57">
        <f t="shared" si="17"/>
        <v>0</v>
      </c>
      <c r="I38" s="58"/>
      <c r="J38" s="58"/>
      <c r="K38" s="58"/>
      <c r="L38" s="57"/>
      <c r="M38" s="57"/>
      <c r="N38" s="57"/>
      <c r="O38" s="59"/>
    </row>
    <row r="39" spans="1:15" ht="14.25" customHeight="1" x14ac:dyDescent="0.25">
      <c r="A39" s="55" t="s">
        <v>495</v>
      </c>
      <c r="B39" s="55" t="s">
        <v>286</v>
      </c>
      <c r="C39" s="56" t="s">
        <v>287</v>
      </c>
      <c r="D39" s="56" t="s">
        <v>297</v>
      </c>
      <c r="E39" s="56" t="s">
        <v>310</v>
      </c>
      <c r="F39" s="57">
        <f>SUM(F40:F40)</f>
        <v>0</v>
      </c>
      <c r="G39" s="57">
        <f t="shared" ref="G39" si="18">ROUND(F39*0.572546874,-2)</f>
        <v>0</v>
      </c>
      <c r="H39" s="57">
        <f t="shared" ref="H39" si="19">G39</f>
        <v>0</v>
      </c>
      <c r="I39" s="58"/>
      <c r="J39" s="58"/>
      <c r="K39" s="58"/>
      <c r="L39" s="57"/>
      <c r="M39" s="57"/>
      <c r="N39" s="57"/>
      <c r="O39" s="59"/>
    </row>
    <row r="40" spans="1:15" x14ac:dyDescent="0.25">
      <c r="A40" s="55" t="s">
        <v>496</v>
      </c>
      <c r="B40" s="55" t="s">
        <v>286</v>
      </c>
      <c r="C40" s="56" t="s">
        <v>287</v>
      </c>
      <c r="D40" s="56" t="s">
        <v>297</v>
      </c>
      <c r="E40" s="56" t="s">
        <v>310</v>
      </c>
      <c r="F40" s="57">
        <f>I40+L40</f>
        <v>0</v>
      </c>
      <c r="G40" s="57">
        <f>J40+M40</f>
        <v>0</v>
      </c>
      <c r="H40" s="57">
        <f>K40+N40</f>
        <v>0</v>
      </c>
      <c r="I40" s="58"/>
      <c r="J40" s="58"/>
      <c r="K40" s="58"/>
      <c r="L40" s="57"/>
      <c r="M40" s="57"/>
      <c r="N40" s="57"/>
      <c r="O40" s="59"/>
    </row>
    <row r="41" spans="1:15" s="40" customFormat="1" ht="18" customHeight="1" x14ac:dyDescent="0.2">
      <c r="A41" s="62" t="s">
        <v>322</v>
      </c>
      <c r="B41" s="62"/>
      <c r="C41" s="63"/>
      <c r="D41" s="63" t="s">
        <v>297</v>
      </c>
      <c r="E41" s="63" t="s">
        <v>290</v>
      </c>
      <c r="F41" s="65">
        <f>SUM(F42:F51)</f>
        <v>21660</v>
      </c>
      <c r="G41" s="65">
        <f t="shared" ref="G41:N41" si="20">SUM(G42:G51)</f>
        <v>0</v>
      </c>
      <c r="H41" s="65">
        <f t="shared" si="20"/>
        <v>0</v>
      </c>
      <c r="I41" s="65">
        <f t="shared" si="20"/>
        <v>21660</v>
      </c>
      <c r="J41" s="65">
        <f t="shared" si="20"/>
        <v>0</v>
      </c>
      <c r="K41" s="65">
        <f t="shared" si="20"/>
        <v>0</v>
      </c>
      <c r="L41" s="65">
        <f t="shared" si="20"/>
        <v>0</v>
      </c>
      <c r="M41" s="65">
        <f t="shared" si="20"/>
        <v>0</v>
      </c>
      <c r="N41" s="65">
        <f t="shared" si="20"/>
        <v>0</v>
      </c>
      <c r="O41" s="66"/>
    </row>
    <row r="42" spans="1:15" x14ac:dyDescent="0.25">
      <c r="A42" s="55" t="s">
        <v>323</v>
      </c>
      <c r="B42" s="130"/>
      <c r="C42" s="131" t="s">
        <v>324</v>
      </c>
      <c r="D42" s="131" t="s">
        <v>297</v>
      </c>
      <c r="E42" s="131" t="s">
        <v>290</v>
      </c>
      <c r="F42" s="132">
        <f>I42+L42</f>
        <v>0</v>
      </c>
      <c r="G42" s="132">
        <f>J42+M42</f>
        <v>0</v>
      </c>
      <c r="H42" s="132">
        <f>K42+N42</f>
        <v>0</v>
      </c>
      <c r="I42" s="133"/>
      <c r="J42" s="133"/>
      <c r="K42" s="133"/>
      <c r="L42" s="132"/>
      <c r="M42" s="132"/>
      <c r="N42" s="132"/>
      <c r="O42" s="59"/>
    </row>
    <row r="43" spans="1:15" ht="14.25" customHeight="1" x14ac:dyDescent="0.25">
      <c r="A43" s="55" t="s">
        <v>325</v>
      </c>
      <c r="B43" s="55" t="s">
        <v>286</v>
      </c>
      <c r="C43" s="56" t="s">
        <v>287</v>
      </c>
      <c r="D43" s="56" t="s">
        <v>297</v>
      </c>
      <c r="E43" s="56" t="s">
        <v>290</v>
      </c>
      <c r="F43" s="57">
        <f t="shared" si="17"/>
        <v>0</v>
      </c>
      <c r="G43" s="57">
        <f t="shared" si="17"/>
        <v>0</v>
      </c>
      <c r="H43" s="57">
        <f t="shared" si="17"/>
        <v>0</v>
      </c>
      <c r="I43" s="58"/>
      <c r="J43" s="58"/>
      <c r="K43" s="58"/>
      <c r="L43" s="57"/>
      <c r="M43" s="57"/>
      <c r="N43" s="57"/>
      <c r="O43" s="59"/>
    </row>
    <row r="44" spans="1:15" ht="14.25" customHeight="1" x14ac:dyDescent="0.25">
      <c r="A44" s="55" t="s">
        <v>326</v>
      </c>
      <c r="B44" s="55" t="s">
        <v>286</v>
      </c>
      <c r="C44" s="56" t="s">
        <v>287</v>
      </c>
      <c r="D44" s="56" t="s">
        <v>297</v>
      </c>
      <c r="E44" s="56" t="s">
        <v>290</v>
      </c>
      <c r="F44" s="57">
        <f t="shared" si="17"/>
        <v>0</v>
      </c>
      <c r="G44" s="57">
        <f t="shared" si="17"/>
        <v>0</v>
      </c>
      <c r="H44" s="57">
        <f t="shared" si="17"/>
        <v>0</v>
      </c>
      <c r="I44" s="58"/>
      <c r="J44" s="58"/>
      <c r="K44" s="58"/>
      <c r="L44" s="57"/>
      <c r="M44" s="57"/>
      <c r="N44" s="57"/>
      <c r="O44" s="59"/>
    </row>
    <row r="45" spans="1:15" ht="14.25" customHeight="1" x14ac:dyDescent="0.25">
      <c r="A45" s="55" t="s">
        <v>405</v>
      </c>
      <c r="B45" s="55" t="s">
        <v>286</v>
      </c>
      <c r="C45" s="56" t="s">
        <v>287</v>
      </c>
      <c r="D45" s="56" t="s">
        <v>297</v>
      </c>
      <c r="E45" s="56" t="s">
        <v>290</v>
      </c>
      <c r="F45" s="57">
        <f t="shared" si="17"/>
        <v>21660</v>
      </c>
      <c r="G45" s="57">
        <f t="shared" si="17"/>
        <v>0</v>
      </c>
      <c r="H45" s="57">
        <f t="shared" si="17"/>
        <v>0</v>
      </c>
      <c r="I45" s="338">
        <v>21660</v>
      </c>
      <c r="J45" s="58"/>
      <c r="K45" s="58"/>
      <c r="L45" s="57"/>
      <c r="M45" s="57"/>
      <c r="N45" s="57"/>
      <c r="O45" s="59"/>
    </row>
    <row r="46" spans="1:15" ht="14.25" customHeight="1" x14ac:dyDescent="0.25">
      <c r="A46" s="55" t="s">
        <v>404</v>
      </c>
      <c r="B46" s="55" t="s">
        <v>286</v>
      </c>
      <c r="C46" s="56" t="s">
        <v>287</v>
      </c>
      <c r="D46" s="56" t="s">
        <v>297</v>
      </c>
      <c r="E46" s="56" t="s">
        <v>290</v>
      </c>
      <c r="F46" s="57">
        <f t="shared" si="17"/>
        <v>0</v>
      </c>
      <c r="G46" s="57">
        <f t="shared" si="17"/>
        <v>0</v>
      </c>
      <c r="H46" s="57">
        <f t="shared" si="17"/>
        <v>0</v>
      </c>
      <c r="I46" s="58"/>
      <c r="J46" s="58"/>
      <c r="K46" s="58"/>
      <c r="L46" s="57"/>
      <c r="M46" s="57"/>
      <c r="N46" s="57"/>
      <c r="O46" s="59"/>
    </row>
    <row r="47" spans="1:15" ht="14.25" customHeight="1" x14ac:dyDescent="0.25">
      <c r="A47" s="55" t="s">
        <v>470</v>
      </c>
      <c r="B47" s="55" t="s">
        <v>286</v>
      </c>
      <c r="C47" s="56" t="s">
        <v>287</v>
      </c>
      <c r="D47" s="56" t="s">
        <v>297</v>
      </c>
      <c r="E47" s="56" t="s">
        <v>290</v>
      </c>
      <c r="F47" s="57">
        <f t="shared" si="17"/>
        <v>0</v>
      </c>
      <c r="G47" s="57">
        <f t="shared" si="17"/>
        <v>0</v>
      </c>
      <c r="H47" s="57">
        <f t="shared" si="17"/>
        <v>0</v>
      </c>
      <c r="I47" s="58"/>
      <c r="J47" s="58"/>
      <c r="K47" s="58"/>
      <c r="L47" s="57"/>
      <c r="M47" s="57"/>
      <c r="N47" s="57"/>
      <c r="O47" s="59"/>
    </row>
    <row r="48" spans="1:15" ht="14.25" customHeight="1" x14ac:dyDescent="0.25">
      <c r="A48" s="55" t="s">
        <v>758</v>
      </c>
      <c r="B48" s="55" t="s">
        <v>286</v>
      </c>
      <c r="C48" s="56" t="s">
        <v>287</v>
      </c>
      <c r="D48" s="56" t="s">
        <v>297</v>
      </c>
      <c r="E48" s="56" t="s">
        <v>290</v>
      </c>
      <c r="F48" s="57">
        <f t="shared" si="17"/>
        <v>0</v>
      </c>
      <c r="G48" s="57">
        <f t="shared" si="17"/>
        <v>0</v>
      </c>
      <c r="H48" s="57">
        <f t="shared" si="17"/>
        <v>0</v>
      </c>
      <c r="I48" s="58"/>
      <c r="J48" s="58"/>
      <c r="K48" s="58"/>
      <c r="L48" s="57"/>
      <c r="M48" s="57"/>
      <c r="N48" s="57"/>
      <c r="O48" s="59"/>
    </row>
    <row r="49" spans="1:16" ht="14.25" customHeight="1" x14ac:dyDescent="0.25">
      <c r="A49" s="55" t="s">
        <v>327</v>
      </c>
      <c r="B49" s="55" t="s">
        <v>286</v>
      </c>
      <c r="C49" s="56" t="s">
        <v>287</v>
      </c>
      <c r="D49" s="56" t="s">
        <v>297</v>
      </c>
      <c r="E49" s="56" t="s">
        <v>290</v>
      </c>
      <c r="F49" s="57">
        <f t="shared" si="17"/>
        <v>0</v>
      </c>
      <c r="G49" s="57">
        <f t="shared" si="17"/>
        <v>0</v>
      </c>
      <c r="H49" s="57">
        <f t="shared" si="17"/>
        <v>0</v>
      </c>
      <c r="I49" s="58"/>
      <c r="J49" s="58"/>
      <c r="K49" s="58"/>
      <c r="L49" s="57"/>
      <c r="M49" s="57"/>
      <c r="N49" s="57"/>
      <c r="O49" s="59"/>
    </row>
    <row r="50" spans="1:16" ht="14.25" customHeight="1" x14ac:dyDescent="0.25">
      <c r="A50" s="55" t="s">
        <v>328</v>
      </c>
      <c r="B50" s="55" t="s">
        <v>286</v>
      </c>
      <c r="C50" s="56" t="s">
        <v>287</v>
      </c>
      <c r="D50" s="56" t="s">
        <v>297</v>
      </c>
      <c r="E50" s="56" t="s">
        <v>290</v>
      </c>
      <c r="F50" s="57">
        <f>I50+L50</f>
        <v>0</v>
      </c>
      <c r="G50" s="57">
        <f>J50+M50</f>
        <v>0</v>
      </c>
      <c r="H50" s="57">
        <f t="shared" si="17"/>
        <v>0</v>
      </c>
      <c r="I50" s="58"/>
      <c r="J50" s="58"/>
      <c r="K50" s="58"/>
      <c r="L50" s="57"/>
      <c r="M50" s="57"/>
      <c r="N50" s="57"/>
      <c r="O50" s="59"/>
    </row>
    <row r="51" spans="1:16" ht="14.25" customHeight="1" x14ac:dyDescent="0.25">
      <c r="A51" s="55" t="s">
        <v>329</v>
      </c>
      <c r="B51" s="55" t="s">
        <v>286</v>
      </c>
      <c r="C51" s="56" t="s">
        <v>287</v>
      </c>
      <c r="D51" s="56" t="s">
        <v>297</v>
      </c>
      <c r="E51" s="56" t="s">
        <v>290</v>
      </c>
      <c r="F51" s="57">
        <f t="shared" si="17"/>
        <v>0</v>
      </c>
      <c r="G51" s="57">
        <f t="shared" si="17"/>
        <v>0</v>
      </c>
      <c r="H51" s="57">
        <f t="shared" si="17"/>
        <v>0</v>
      </c>
      <c r="I51" s="58"/>
      <c r="J51" s="58"/>
      <c r="K51" s="58"/>
      <c r="L51" s="57"/>
      <c r="M51" s="57"/>
      <c r="N51" s="57"/>
      <c r="O51" s="59"/>
    </row>
    <row r="52" spans="1:16" x14ac:dyDescent="0.25">
      <c r="A52" s="62" t="s">
        <v>760</v>
      </c>
      <c r="B52" s="62" t="s">
        <v>286</v>
      </c>
      <c r="C52" s="63" t="s">
        <v>287</v>
      </c>
      <c r="D52" s="63" t="s">
        <v>297</v>
      </c>
      <c r="E52" s="63" t="s">
        <v>759</v>
      </c>
      <c r="F52" s="64">
        <f t="shared" si="17"/>
        <v>0</v>
      </c>
      <c r="G52" s="64">
        <f t="shared" si="17"/>
        <v>0</v>
      </c>
      <c r="H52" s="64">
        <f t="shared" si="17"/>
        <v>0</v>
      </c>
      <c r="I52" s="65"/>
      <c r="J52" s="65"/>
      <c r="K52" s="58"/>
      <c r="L52" s="64"/>
      <c r="M52" s="64"/>
      <c r="N52" s="64"/>
      <c r="O52" s="59"/>
    </row>
    <row r="53" spans="1:16" s="140" customFormat="1" ht="14.25" x14ac:dyDescent="0.2">
      <c r="A53" s="62" t="s">
        <v>330</v>
      </c>
      <c r="B53" s="62" t="s">
        <v>286</v>
      </c>
      <c r="C53" s="63" t="s">
        <v>331</v>
      </c>
      <c r="D53" s="63" t="s">
        <v>332</v>
      </c>
      <c r="E53" s="63" t="s">
        <v>333</v>
      </c>
      <c r="F53" s="64">
        <f t="shared" ref="F53:H62" si="21">I53+L53</f>
        <v>0</v>
      </c>
      <c r="G53" s="64">
        <f t="shared" si="21"/>
        <v>0</v>
      </c>
      <c r="H53" s="64">
        <f t="shared" si="21"/>
        <v>0</v>
      </c>
      <c r="I53" s="65"/>
      <c r="J53" s="65"/>
      <c r="K53" s="65"/>
      <c r="L53" s="64"/>
      <c r="M53" s="64"/>
      <c r="N53" s="64"/>
      <c r="O53" s="139"/>
    </row>
    <row r="54" spans="1:16" s="140" customFormat="1" ht="14.25" x14ac:dyDescent="0.2">
      <c r="A54" s="62" t="s">
        <v>334</v>
      </c>
      <c r="B54" s="62" t="s">
        <v>286</v>
      </c>
      <c r="C54" s="63" t="s">
        <v>287</v>
      </c>
      <c r="D54" s="63" t="s">
        <v>335</v>
      </c>
      <c r="E54" s="63" t="s">
        <v>336</v>
      </c>
      <c r="F54" s="64">
        <f t="shared" si="21"/>
        <v>204.2</v>
      </c>
      <c r="G54" s="64">
        <f t="shared" si="21"/>
        <v>0</v>
      </c>
      <c r="H54" s="64">
        <f t="shared" si="21"/>
        <v>0</v>
      </c>
      <c r="I54" s="65">
        <v>204.2</v>
      </c>
      <c r="J54" s="65"/>
      <c r="K54" s="65"/>
      <c r="L54" s="64"/>
      <c r="M54" s="64"/>
      <c r="N54" s="64"/>
      <c r="O54" s="139"/>
    </row>
    <row r="55" spans="1:16" s="40" customFormat="1" ht="15" customHeight="1" x14ac:dyDescent="0.2">
      <c r="A55" s="62" t="s">
        <v>402</v>
      </c>
      <c r="B55" s="62"/>
      <c r="C55" s="63" t="s">
        <v>337</v>
      </c>
      <c r="D55" s="63" t="s">
        <v>338</v>
      </c>
      <c r="E55" s="63" t="s">
        <v>333</v>
      </c>
      <c r="F55" s="64">
        <f t="shared" si="21"/>
        <v>155072</v>
      </c>
      <c r="G55" s="64">
        <f t="shared" si="21"/>
        <v>144965</v>
      </c>
      <c r="H55" s="64">
        <f t="shared" si="21"/>
        <v>144965</v>
      </c>
      <c r="I55" s="340">
        <f>144965+10107</f>
        <v>155072</v>
      </c>
      <c r="J55" s="65">
        <v>144965</v>
      </c>
      <c r="K55" s="65">
        <v>144965</v>
      </c>
      <c r="L55" s="64"/>
      <c r="M55" s="64"/>
      <c r="N55" s="64"/>
      <c r="O55" s="66"/>
    </row>
    <row r="56" spans="1:16" hidden="1" x14ac:dyDescent="0.25">
      <c r="A56" s="55" t="s">
        <v>339</v>
      </c>
      <c r="B56" s="55"/>
      <c r="C56" s="56" t="s">
        <v>337</v>
      </c>
      <c r="D56" s="56" t="s">
        <v>338</v>
      </c>
      <c r="E56" s="56" t="s">
        <v>333</v>
      </c>
      <c r="F56" s="57">
        <f t="shared" si="21"/>
        <v>0</v>
      </c>
      <c r="G56" s="57">
        <f t="shared" si="21"/>
        <v>0</v>
      </c>
      <c r="H56" s="57">
        <f t="shared" si="21"/>
        <v>0</v>
      </c>
      <c r="I56" s="58"/>
      <c r="J56" s="58"/>
      <c r="K56" s="58"/>
      <c r="L56" s="57"/>
      <c r="M56" s="57"/>
      <c r="N56" s="57"/>
      <c r="O56" s="59"/>
    </row>
    <row r="57" spans="1:16" s="140" customFormat="1" ht="14.25" x14ac:dyDescent="0.2">
      <c r="A57" s="136" t="s">
        <v>340</v>
      </c>
      <c r="B57" s="62" t="s">
        <v>286</v>
      </c>
      <c r="C57" s="63" t="s">
        <v>287</v>
      </c>
      <c r="D57" s="137" t="s">
        <v>297</v>
      </c>
      <c r="E57" s="63" t="s">
        <v>341</v>
      </c>
      <c r="F57" s="64">
        <f t="shared" si="21"/>
        <v>0</v>
      </c>
      <c r="G57" s="64">
        <f t="shared" si="21"/>
        <v>0</v>
      </c>
      <c r="H57" s="64">
        <f t="shared" si="21"/>
        <v>0</v>
      </c>
      <c r="I57" s="65"/>
      <c r="J57" s="65"/>
      <c r="K57" s="65"/>
      <c r="L57" s="64"/>
      <c r="M57" s="64"/>
      <c r="N57" s="64"/>
      <c r="O57" s="139"/>
    </row>
    <row r="58" spans="1:16" s="40" customFormat="1" ht="28.5" x14ac:dyDescent="0.2">
      <c r="A58" s="62" t="s">
        <v>342</v>
      </c>
      <c r="B58" s="62"/>
      <c r="C58" s="63"/>
      <c r="D58" s="63" t="s">
        <v>297</v>
      </c>
      <c r="E58" s="63" t="s">
        <v>343</v>
      </c>
      <c r="F58" s="65">
        <f>SUM(F59:F62)</f>
        <v>83484</v>
      </c>
      <c r="G58" s="65">
        <f t="shared" ref="G58:N58" si="22">SUM(G59:G62)</f>
        <v>83484</v>
      </c>
      <c r="H58" s="65">
        <f t="shared" si="22"/>
        <v>83484</v>
      </c>
      <c r="I58" s="65">
        <f t="shared" si="22"/>
        <v>83484</v>
      </c>
      <c r="J58" s="65">
        <f t="shared" si="22"/>
        <v>83484</v>
      </c>
      <c r="K58" s="65">
        <f t="shared" si="22"/>
        <v>83484</v>
      </c>
      <c r="L58" s="65">
        <f t="shared" si="22"/>
        <v>0</v>
      </c>
      <c r="M58" s="65">
        <f t="shared" si="22"/>
        <v>0</v>
      </c>
      <c r="N58" s="65">
        <f t="shared" si="22"/>
        <v>0</v>
      </c>
      <c r="O58" s="66"/>
    </row>
    <row r="59" spans="1:16" s="61" customFormat="1" ht="15" customHeight="1" x14ac:dyDescent="0.25">
      <c r="A59" s="67" t="s">
        <v>406</v>
      </c>
      <c r="B59" s="55" t="s">
        <v>286</v>
      </c>
      <c r="C59" s="56" t="s">
        <v>287</v>
      </c>
      <c r="D59" s="68" t="s">
        <v>297</v>
      </c>
      <c r="E59" s="56" t="s">
        <v>344</v>
      </c>
      <c r="F59" s="57">
        <f t="shared" si="21"/>
        <v>83484</v>
      </c>
      <c r="G59" s="57">
        <f t="shared" si="21"/>
        <v>83484</v>
      </c>
      <c r="H59" s="57">
        <f t="shared" si="21"/>
        <v>83484</v>
      </c>
      <c r="I59" s="58">
        <v>83484</v>
      </c>
      <c r="J59" s="58">
        <v>83484</v>
      </c>
      <c r="K59" s="58">
        <v>83484</v>
      </c>
      <c r="L59" s="57"/>
      <c r="M59" s="57"/>
      <c r="N59" s="57"/>
      <c r="O59" s="60"/>
    </row>
    <row r="60" spans="1:16" s="61" customFormat="1" ht="15" customHeight="1" x14ac:dyDescent="0.25">
      <c r="A60" s="67" t="s">
        <v>407</v>
      </c>
      <c r="B60" s="55" t="s">
        <v>286</v>
      </c>
      <c r="C60" s="56" t="s">
        <v>287</v>
      </c>
      <c r="D60" s="68" t="s">
        <v>297</v>
      </c>
      <c r="E60" s="56" t="s">
        <v>345</v>
      </c>
      <c r="F60" s="57">
        <f t="shared" si="21"/>
        <v>0</v>
      </c>
      <c r="G60" s="57">
        <f t="shared" si="21"/>
        <v>0</v>
      </c>
      <c r="H60" s="57">
        <f t="shared" si="21"/>
        <v>0</v>
      </c>
      <c r="I60" s="58"/>
      <c r="J60" s="58"/>
      <c r="K60" s="58"/>
      <c r="L60" s="57"/>
      <c r="M60" s="57"/>
      <c r="N60" s="57"/>
      <c r="O60" s="60"/>
    </row>
    <row r="61" spans="1:16" s="61" customFormat="1" ht="15" customHeight="1" x14ac:dyDescent="0.25">
      <c r="A61" s="67" t="s">
        <v>408</v>
      </c>
      <c r="B61" s="55" t="s">
        <v>286</v>
      </c>
      <c r="C61" s="56" t="s">
        <v>287</v>
      </c>
      <c r="D61" s="68" t="s">
        <v>297</v>
      </c>
      <c r="E61" s="56" t="s">
        <v>345</v>
      </c>
      <c r="F61" s="57">
        <f t="shared" si="21"/>
        <v>0</v>
      </c>
      <c r="G61" s="57">
        <f t="shared" si="21"/>
        <v>0</v>
      </c>
      <c r="H61" s="57">
        <f t="shared" si="21"/>
        <v>0</v>
      </c>
      <c r="I61" s="58"/>
      <c r="J61" s="58"/>
      <c r="K61" s="58"/>
      <c r="L61" s="57"/>
      <c r="M61" s="57"/>
      <c r="N61" s="57"/>
      <c r="O61" s="60"/>
    </row>
    <row r="62" spans="1:16" s="61" customFormat="1" ht="15" customHeight="1" x14ac:dyDescent="0.25">
      <c r="A62" s="67" t="s">
        <v>409</v>
      </c>
      <c r="B62" s="55" t="s">
        <v>286</v>
      </c>
      <c r="C62" s="56" t="s">
        <v>287</v>
      </c>
      <c r="D62" s="68" t="s">
        <v>297</v>
      </c>
      <c r="E62" s="56" t="s">
        <v>345</v>
      </c>
      <c r="F62" s="57">
        <f>I62+L62</f>
        <v>0</v>
      </c>
      <c r="G62" s="57">
        <f t="shared" si="21"/>
        <v>0</v>
      </c>
      <c r="H62" s="57">
        <f t="shared" si="21"/>
        <v>0</v>
      </c>
      <c r="I62" s="58"/>
      <c r="J62" s="58"/>
      <c r="K62" s="58"/>
      <c r="L62" s="57"/>
      <c r="M62" s="57"/>
      <c r="N62" s="57"/>
      <c r="O62" s="60"/>
    </row>
    <row r="63" spans="1:16" s="199" customFormat="1" ht="14.25" x14ac:dyDescent="0.2">
      <c r="A63" s="197" t="s">
        <v>620</v>
      </c>
      <c r="B63" s="197"/>
      <c r="C63" s="160"/>
      <c r="D63" s="160"/>
      <c r="E63" s="160"/>
      <c r="F63" s="161">
        <f>SUM(F64:F69)</f>
        <v>107139.64</v>
      </c>
      <c r="G63" s="161">
        <f>SUM(G64:G69)</f>
        <v>94550.68</v>
      </c>
      <c r="H63" s="161">
        <f>SUM(H64:H69)</f>
        <v>94550.68</v>
      </c>
      <c r="I63" s="161">
        <f>SUM(I64:I66)</f>
        <v>49539.64</v>
      </c>
      <c r="J63" s="161">
        <f t="shared" ref="J63:N63" si="23">SUM(J64:J66)</f>
        <v>36950.68</v>
      </c>
      <c r="K63" s="161">
        <f t="shared" si="23"/>
        <v>36950.68</v>
      </c>
      <c r="L63" s="161">
        <f t="shared" si="23"/>
        <v>0</v>
      </c>
      <c r="M63" s="161">
        <f t="shared" si="23"/>
        <v>0</v>
      </c>
      <c r="N63" s="161">
        <f t="shared" si="23"/>
        <v>0</v>
      </c>
      <c r="O63" s="198" t="s">
        <v>277</v>
      </c>
      <c r="P63" s="198" t="s">
        <v>346</v>
      </c>
    </row>
    <row r="64" spans="1:16" ht="15" customHeight="1" x14ac:dyDescent="0.25">
      <c r="A64" s="151" t="s">
        <v>347</v>
      </c>
      <c r="B64" s="143"/>
      <c r="C64" s="144" t="s">
        <v>312</v>
      </c>
      <c r="D64" s="144" t="s">
        <v>297</v>
      </c>
      <c r="E64" s="144" t="s">
        <v>310</v>
      </c>
      <c r="F64" s="132">
        <f t="shared" ref="F64:H65" si="24">I64+L64</f>
        <v>4016.05</v>
      </c>
      <c r="G64" s="132">
        <f t="shared" si="24"/>
        <v>1934.72</v>
      </c>
      <c r="H64" s="132">
        <f t="shared" si="24"/>
        <v>1934.72</v>
      </c>
      <c r="I64" s="132">
        <v>4016.05</v>
      </c>
      <c r="J64" s="132">
        <v>1934.72</v>
      </c>
      <c r="K64" s="132">
        <v>1934.72</v>
      </c>
      <c r="L64" s="132"/>
      <c r="M64" s="132"/>
      <c r="N64" s="132"/>
    </row>
    <row r="65" spans="1:16" ht="15" customHeight="1" x14ac:dyDescent="0.25">
      <c r="A65" s="300" t="s">
        <v>348</v>
      </c>
      <c r="B65" s="143"/>
      <c r="C65" s="144" t="s">
        <v>312</v>
      </c>
      <c r="D65" s="144" t="s">
        <v>297</v>
      </c>
      <c r="E65" s="144" t="s">
        <v>310</v>
      </c>
      <c r="F65" s="132">
        <f t="shared" si="24"/>
        <v>10500</v>
      </c>
      <c r="G65" s="132">
        <f t="shared" si="24"/>
        <v>10500</v>
      </c>
      <c r="H65" s="132">
        <f t="shared" si="24"/>
        <v>10500</v>
      </c>
      <c r="I65" s="132">
        <v>10500</v>
      </c>
      <c r="J65" s="132">
        <v>10500</v>
      </c>
      <c r="K65" s="132">
        <v>10500</v>
      </c>
      <c r="L65" s="132"/>
      <c r="M65" s="132"/>
      <c r="N65" s="132"/>
    </row>
    <row r="66" spans="1:16" x14ac:dyDescent="0.25">
      <c r="A66" s="151" t="s">
        <v>349</v>
      </c>
      <c r="B66" s="143"/>
      <c r="C66" s="144" t="s">
        <v>312</v>
      </c>
      <c r="D66" s="144" t="s">
        <v>297</v>
      </c>
      <c r="E66" s="144" t="s">
        <v>290</v>
      </c>
      <c r="F66" s="132">
        <f t="shared" ref="F66:H69" si="25">I66+L66</f>
        <v>35023.589999999997</v>
      </c>
      <c r="G66" s="132">
        <f t="shared" ref="G66" si="26">J66+M66</f>
        <v>24515.96</v>
      </c>
      <c r="H66" s="132">
        <f t="shared" ref="H66" si="27">K66+N66</f>
        <v>24515.96</v>
      </c>
      <c r="I66" s="132">
        <v>35023.589999999997</v>
      </c>
      <c r="J66" s="132">
        <v>24515.96</v>
      </c>
      <c r="K66" s="132">
        <v>24515.96</v>
      </c>
      <c r="L66" s="132"/>
      <c r="M66" s="132"/>
      <c r="N66" s="132"/>
    </row>
    <row r="67" spans="1:16" s="294" customFormat="1" x14ac:dyDescent="0.25">
      <c r="A67" s="197" t="s">
        <v>746</v>
      </c>
      <c r="B67" s="197"/>
      <c r="C67" s="160"/>
      <c r="D67" s="160"/>
      <c r="E67" s="160"/>
      <c r="F67" s="161">
        <f t="shared" si="25"/>
        <v>28800</v>
      </c>
      <c r="G67" s="161">
        <f t="shared" si="25"/>
        <v>28800</v>
      </c>
      <c r="H67" s="161">
        <f t="shared" si="25"/>
        <v>28800</v>
      </c>
      <c r="I67" s="161">
        <f>SUM(I68:I69)</f>
        <v>28800</v>
      </c>
      <c r="J67" s="161">
        <f t="shared" ref="J67:N67" si="28">SUM(J68:J69)</f>
        <v>28800</v>
      </c>
      <c r="K67" s="161">
        <f t="shared" si="28"/>
        <v>28800</v>
      </c>
      <c r="L67" s="161">
        <f t="shared" si="28"/>
        <v>0</v>
      </c>
      <c r="M67" s="161">
        <f t="shared" si="28"/>
        <v>0</v>
      </c>
      <c r="N67" s="161">
        <f t="shared" si="28"/>
        <v>0</v>
      </c>
      <c r="O67" s="198" t="s">
        <v>277</v>
      </c>
      <c r="P67" s="198" t="s">
        <v>731</v>
      </c>
    </row>
    <row r="68" spans="1:16" s="43" customFormat="1" x14ac:dyDescent="0.25">
      <c r="A68" s="301" t="s">
        <v>729</v>
      </c>
      <c r="B68" s="143"/>
      <c r="C68" s="144" t="s">
        <v>312</v>
      </c>
      <c r="D68" s="144" t="s">
        <v>297</v>
      </c>
      <c r="E68" s="73" t="s">
        <v>310</v>
      </c>
      <c r="F68" s="132">
        <f t="shared" si="25"/>
        <v>9600</v>
      </c>
      <c r="G68" s="132">
        <f t="shared" si="25"/>
        <v>9600</v>
      </c>
      <c r="H68" s="132">
        <f t="shared" si="25"/>
        <v>9600</v>
      </c>
      <c r="I68" s="132">
        <v>9600</v>
      </c>
      <c r="J68" s="132">
        <v>9600</v>
      </c>
      <c r="K68" s="132">
        <v>9600</v>
      </c>
      <c r="L68" s="132"/>
      <c r="M68" s="132"/>
      <c r="N68" s="132"/>
    </row>
    <row r="69" spans="1:16" s="43" customFormat="1" x14ac:dyDescent="0.25">
      <c r="A69" s="301" t="s">
        <v>730</v>
      </c>
      <c r="B69" s="143"/>
      <c r="C69" s="144" t="s">
        <v>312</v>
      </c>
      <c r="D69" s="144" t="s">
        <v>297</v>
      </c>
      <c r="E69" s="73" t="s">
        <v>290</v>
      </c>
      <c r="F69" s="132">
        <f t="shared" si="25"/>
        <v>19200</v>
      </c>
      <c r="G69" s="132">
        <f t="shared" si="25"/>
        <v>19200</v>
      </c>
      <c r="H69" s="132">
        <f t="shared" si="25"/>
        <v>19200</v>
      </c>
      <c r="I69" s="132">
        <v>19200</v>
      </c>
      <c r="J69" s="132">
        <v>19200</v>
      </c>
      <c r="K69" s="132">
        <v>19200</v>
      </c>
      <c r="L69" s="132"/>
      <c r="M69" s="132"/>
      <c r="N69" s="132"/>
    </row>
    <row r="70" spans="1:16" s="199" customFormat="1" ht="14.25" x14ac:dyDescent="0.2">
      <c r="A70" s="153" t="s">
        <v>621</v>
      </c>
      <c r="B70" s="153"/>
      <c r="C70" s="154"/>
      <c r="D70" s="154"/>
      <c r="E70" s="154"/>
      <c r="F70" s="155">
        <f t="shared" ref="F70:N70" si="29">SUM(F71:F71)</f>
        <v>0</v>
      </c>
      <c r="G70" s="155">
        <f t="shared" si="29"/>
        <v>0</v>
      </c>
      <c r="H70" s="155">
        <f t="shared" si="29"/>
        <v>0</v>
      </c>
      <c r="I70" s="155">
        <f t="shared" si="29"/>
        <v>0</v>
      </c>
      <c r="J70" s="155">
        <f t="shared" si="29"/>
        <v>0</v>
      </c>
      <c r="K70" s="155">
        <f t="shared" si="29"/>
        <v>0</v>
      </c>
      <c r="L70" s="155">
        <f t="shared" si="29"/>
        <v>0</v>
      </c>
      <c r="M70" s="155">
        <f t="shared" si="29"/>
        <v>0</v>
      </c>
      <c r="N70" s="155">
        <f t="shared" si="29"/>
        <v>0</v>
      </c>
      <c r="O70" s="198" t="s">
        <v>277</v>
      </c>
      <c r="P70" s="198" t="s">
        <v>350</v>
      </c>
    </row>
    <row r="71" spans="1:16" x14ac:dyDescent="0.25">
      <c r="A71" s="145" t="s">
        <v>351</v>
      </c>
      <c r="B71" s="146"/>
      <c r="C71" s="144" t="s">
        <v>287</v>
      </c>
      <c r="D71" s="144" t="s">
        <v>297</v>
      </c>
      <c r="E71" s="144" t="s">
        <v>310</v>
      </c>
      <c r="F71" s="132">
        <f t="shared" ref="F71:H71" si="30">I71+L71</f>
        <v>0</v>
      </c>
      <c r="G71" s="132">
        <f t="shared" si="30"/>
        <v>0</v>
      </c>
      <c r="H71" s="132">
        <f t="shared" si="30"/>
        <v>0</v>
      </c>
      <c r="I71" s="132"/>
      <c r="J71" s="132"/>
      <c r="K71" s="132"/>
      <c r="L71" s="132"/>
      <c r="M71" s="132"/>
      <c r="N71" s="132"/>
    </row>
    <row r="72" spans="1:16" s="40" customFormat="1" ht="14.25" hidden="1" x14ac:dyDescent="0.2">
      <c r="A72" s="147"/>
      <c r="B72" s="52"/>
      <c r="C72" s="51"/>
      <c r="D72" s="51"/>
      <c r="E72" s="51"/>
      <c r="F72" s="53">
        <f t="shared" ref="F72:N72" si="31">SUM(F73:F91)</f>
        <v>0</v>
      </c>
      <c r="G72" s="53">
        <f t="shared" si="31"/>
        <v>0</v>
      </c>
      <c r="H72" s="53">
        <f t="shared" si="31"/>
        <v>0</v>
      </c>
      <c r="I72" s="53">
        <f t="shared" si="31"/>
        <v>0</v>
      </c>
      <c r="J72" s="53">
        <f t="shared" si="31"/>
        <v>0</v>
      </c>
      <c r="K72" s="53">
        <f t="shared" si="31"/>
        <v>0</v>
      </c>
      <c r="L72" s="53">
        <f t="shared" si="31"/>
        <v>0</v>
      </c>
      <c r="M72" s="53">
        <f t="shared" si="31"/>
        <v>0</v>
      </c>
      <c r="N72" s="53">
        <f t="shared" si="31"/>
        <v>0</v>
      </c>
      <c r="O72" s="54" t="s">
        <v>277</v>
      </c>
      <c r="P72" s="54"/>
    </row>
    <row r="73" spans="1:16" hidden="1" x14ac:dyDescent="0.25">
      <c r="A73" s="145"/>
      <c r="B73" s="146"/>
      <c r="C73" s="144"/>
      <c r="D73" s="144"/>
      <c r="E73" s="144"/>
      <c r="F73" s="132">
        <f t="shared" ref="F73:H91" si="32">I73+L73</f>
        <v>0</v>
      </c>
      <c r="G73" s="132">
        <f t="shared" si="32"/>
        <v>0</v>
      </c>
      <c r="H73" s="132">
        <f t="shared" si="32"/>
        <v>0</v>
      </c>
      <c r="I73" s="132"/>
      <c r="J73" s="132"/>
      <c r="K73" s="132"/>
      <c r="L73" s="132"/>
      <c r="M73" s="132"/>
      <c r="N73" s="132"/>
    </row>
    <row r="74" spans="1:16" hidden="1" x14ac:dyDescent="0.25">
      <c r="A74" s="145"/>
      <c r="B74" s="146"/>
      <c r="C74" s="144"/>
      <c r="D74" s="144"/>
      <c r="E74" s="144"/>
      <c r="F74" s="132">
        <f t="shared" si="32"/>
        <v>0</v>
      </c>
      <c r="G74" s="132">
        <f t="shared" si="32"/>
        <v>0</v>
      </c>
      <c r="H74" s="132">
        <f t="shared" si="32"/>
        <v>0</v>
      </c>
      <c r="I74" s="132"/>
      <c r="J74" s="132"/>
      <c r="K74" s="132"/>
      <c r="L74" s="132"/>
      <c r="M74" s="132"/>
      <c r="N74" s="132"/>
    </row>
    <row r="75" spans="1:16" hidden="1" x14ac:dyDescent="0.25">
      <c r="A75" s="145"/>
      <c r="B75" s="146"/>
      <c r="C75" s="144"/>
      <c r="D75" s="144"/>
      <c r="E75" s="144"/>
      <c r="F75" s="132">
        <f t="shared" si="32"/>
        <v>0</v>
      </c>
      <c r="G75" s="132">
        <f t="shared" si="32"/>
        <v>0</v>
      </c>
      <c r="H75" s="132">
        <f t="shared" si="32"/>
        <v>0</v>
      </c>
      <c r="I75" s="132"/>
      <c r="J75" s="132"/>
      <c r="K75" s="132"/>
      <c r="L75" s="132"/>
      <c r="M75" s="132"/>
      <c r="N75" s="132"/>
    </row>
    <row r="76" spans="1:16" hidden="1" x14ac:dyDescent="0.25">
      <c r="A76" s="145"/>
      <c r="B76" s="146"/>
      <c r="C76" s="144"/>
      <c r="D76" s="144"/>
      <c r="E76" s="144"/>
      <c r="F76" s="132">
        <f t="shared" si="32"/>
        <v>0</v>
      </c>
      <c r="G76" s="132">
        <f t="shared" si="32"/>
        <v>0</v>
      </c>
      <c r="H76" s="132">
        <f t="shared" si="32"/>
        <v>0</v>
      </c>
      <c r="I76" s="132"/>
      <c r="J76" s="132"/>
      <c r="K76" s="132"/>
      <c r="L76" s="132"/>
      <c r="M76" s="132"/>
      <c r="N76" s="132"/>
    </row>
    <row r="77" spans="1:16" hidden="1" x14ac:dyDescent="0.25">
      <c r="A77" s="145"/>
      <c r="B77" s="146"/>
      <c r="C77" s="144"/>
      <c r="D77" s="144"/>
      <c r="E77" s="144"/>
      <c r="F77" s="132">
        <f t="shared" si="32"/>
        <v>0</v>
      </c>
      <c r="G77" s="132">
        <f t="shared" si="32"/>
        <v>0</v>
      </c>
      <c r="H77" s="132">
        <f t="shared" si="32"/>
        <v>0</v>
      </c>
      <c r="I77" s="132"/>
      <c r="J77" s="132"/>
      <c r="K77" s="132"/>
      <c r="L77" s="132"/>
      <c r="M77" s="132"/>
      <c r="N77" s="132"/>
    </row>
    <row r="78" spans="1:16" hidden="1" x14ac:dyDescent="0.25">
      <c r="A78" s="145"/>
      <c r="B78" s="146"/>
      <c r="C78" s="144"/>
      <c r="D78" s="144"/>
      <c r="E78" s="144"/>
      <c r="F78" s="132">
        <f t="shared" si="32"/>
        <v>0</v>
      </c>
      <c r="G78" s="132">
        <f t="shared" si="32"/>
        <v>0</v>
      </c>
      <c r="H78" s="132">
        <f t="shared" si="32"/>
        <v>0</v>
      </c>
      <c r="I78" s="132"/>
      <c r="J78" s="132"/>
      <c r="K78" s="132"/>
      <c r="L78" s="132"/>
      <c r="M78" s="132"/>
      <c r="N78" s="132"/>
    </row>
    <row r="79" spans="1:16" hidden="1" x14ac:dyDescent="0.25">
      <c r="A79" s="145"/>
      <c r="B79" s="146"/>
      <c r="C79" s="144"/>
      <c r="D79" s="144"/>
      <c r="E79" s="144"/>
      <c r="F79" s="132">
        <f t="shared" si="32"/>
        <v>0</v>
      </c>
      <c r="G79" s="132">
        <f t="shared" si="32"/>
        <v>0</v>
      </c>
      <c r="H79" s="132">
        <f t="shared" si="32"/>
        <v>0</v>
      </c>
      <c r="I79" s="132"/>
      <c r="J79" s="132"/>
      <c r="K79" s="132"/>
      <c r="L79" s="132"/>
      <c r="M79" s="132"/>
      <c r="N79" s="132"/>
    </row>
    <row r="80" spans="1:16" hidden="1" x14ac:dyDescent="0.25">
      <c r="A80" s="145"/>
      <c r="B80" s="146"/>
      <c r="C80" s="144"/>
      <c r="D80" s="144"/>
      <c r="E80" s="144"/>
      <c r="F80" s="132">
        <f t="shared" si="32"/>
        <v>0</v>
      </c>
      <c r="G80" s="132">
        <f t="shared" si="32"/>
        <v>0</v>
      </c>
      <c r="H80" s="132">
        <f t="shared" si="32"/>
        <v>0</v>
      </c>
      <c r="I80" s="132"/>
      <c r="J80" s="132"/>
      <c r="K80" s="132"/>
      <c r="L80" s="132"/>
      <c r="M80" s="132"/>
      <c r="N80" s="132"/>
    </row>
    <row r="81" spans="1:16" hidden="1" x14ac:dyDescent="0.25">
      <c r="A81" s="145"/>
      <c r="B81" s="146"/>
      <c r="C81" s="144"/>
      <c r="D81" s="144"/>
      <c r="E81" s="144"/>
      <c r="F81" s="132">
        <f t="shared" si="32"/>
        <v>0</v>
      </c>
      <c r="G81" s="132">
        <f t="shared" si="32"/>
        <v>0</v>
      </c>
      <c r="H81" s="132">
        <f t="shared" si="32"/>
        <v>0</v>
      </c>
      <c r="I81" s="132"/>
      <c r="J81" s="132"/>
      <c r="K81" s="132"/>
      <c r="L81" s="132"/>
      <c r="M81" s="132"/>
      <c r="N81" s="132"/>
    </row>
    <row r="82" spans="1:16" hidden="1" x14ac:dyDescent="0.25">
      <c r="A82" s="145"/>
      <c r="B82" s="146"/>
      <c r="C82" s="144"/>
      <c r="D82" s="144"/>
      <c r="E82" s="144"/>
      <c r="F82" s="132">
        <f t="shared" si="32"/>
        <v>0</v>
      </c>
      <c r="G82" s="132">
        <f t="shared" si="32"/>
        <v>0</v>
      </c>
      <c r="H82" s="132">
        <f t="shared" si="32"/>
        <v>0</v>
      </c>
      <c r="I82" s="132"/>
      <c r="J82" s="132"/>
      <c r="K82" s="132"/>
      <c r="L82" s="132"/>
      <c r="M82" s="132"/>
      <c r="N82" s="132"/>
    </row>
    <row r="83" spans="1:16" hidden="1" x14ac:dyDescent="0.25">
      <c r="A83" s="145"/>
      <c r="B83" s="146"/>
      <c r="C83" s="144"/>
      <c r="D83" s="144"/>
      <c r="E83" s="144"/>
      <c r="F83" s="132">
        <f t="shared" si="32"/>
        <v>0</v>
      </c>
      <c r="G83" s="132">
        <f t="shared" si="32"/>
        <v>0</v>
      </c>
      <c r="H83" s="132">
        <f t="shared" si="32"/>
        <v>0</v>
      </c>
      <c r="I83" s="132"/>
      <c r="J83" s="132"/>
      <c r="K83" s="132"/>
      <c r="L83" s="132"/>
      <c r="M83" s="132"/>
      <c r="N83" s="132"/>
    </row>
    <row r="84" spans="1:16" hidden="1" x14ac:dyDescent="0.25">
      <c r="A84" s="145"/>
      <c r="B84" s="146"/>
      <c r="C84" s="144"/>
      <c r="D84" s="144"/>
      <c r="E84" s="144"/>
      <c r="F84" s="132">
        <f t="shared" si="32"/>
        <v>0</v>
      </c>
      <c r="G84" s="132">
        <f t="shared" si="32"/>
        <v>0</v>
      </c>
      <c r="H84" s="132">
        <f t="shared" si="32"/>
        <v>0</v>
      </c>
      <c r="I84" s="132"/>
      <c r="J84" s="132"/>
      <c r="K84" s="132"/>
      <c r="L84" s="132"/>
      <c r="M84" s="132"/>
      <c r="N84" s="132"/>
    </row>
    <row r="85" spans="1:16" hidden="1" x14ac:dyDescent="0.25">
      <c r="A85" s="145"/>
      <c r="B85" s="146"/>
      <c r="C85" s="144"/>
      <c r="D85" s="144"/>
      <c r="E85" s="144"/>
      <c r="F85" s="132">
        <f t="shared" si="32"/>
        <v>0</v>
      </c>
      <c r="G85" s="132">
        <f t="shared" si="32"/>
        <v>0</v>
      </c>
      <c r="H85" s="132">
        <f t="shared" si="32"/>
        <v>0</v>
      </c>
      <c r="I85" s="132"/>
      <c r="J85" s="132"/>
      <c r="K85" s="132"/>
      <c r="L85" s="132"/>
      <c r="M85" s="132"/>
      <c r="N85" s="132"/>
    </row>
    <row r="86" spans="1:16" hidden="1" x14ac:dyDescent="0.25">
      <c r="A86" s="145"/>
      <c r="B86" s="146"/>
      <c r="C86" s="144"/>
      <c r="D86" s="144"/>
      <c r="E86" s="144"/>
      <c r="F86" s="132">
        <f t="shared" si="32"/>
        <v>0</v>
      </c>
      <c r="G86" s="132">
        <f t="shared" si="32"/>
        <v>0</v>
      </c>
      <c r="H86" s="132">
        <f t="shared" si="32"/>
        <v>0</v>
      </c>
      <c r="I86" s="132"/>
      <c r="J86" s="132"/>
      <c r="K86" s="132"/>
      <c r="L86" s="132"/>
      <c r="M86" s="132"/>
      <c r="N86" s="132"/>
    </row>
    <row r="87" spans="1:16" hidden="1" x14ac:dyDescent="0.25">
      <c r="A87" s="145"/>
      <c r="B87" s="146"/>
      <c r="C87" s="144"/>
      <c r="D87" s="144"/>
      <c r="E87" s="144"/>
      <c r="F87" s="132">
        <f t="shared" si="32"/>
        <v>0</v>
      </c>
      <c r="G87" s="132">
        <f t="shared" si="32"/>
        <v>0</v>
      </c>
      <c r="H87" s="132">
        <f t="shared" si="32"/>
        <v>0</v>
      </c>
      <c r="I87" s="132"/>
      <c r="J87" s="132"/>
      <c r="K87" s="132"/>
      <c r="L87" s="132"/>
      <c r="M87" s="132"/>
      <c r="N87" s="132"/>
    </row>
    <row r="88" spans="1:16" hidden="1" x14ac:dyDescent="0.25">
      <c r="A88" s="145"/>
      <c r="B88" s="146"/>
      <c r="C88" s="144"/>
      <c r="D88" s="144"/>
      <c r="E88" s="144"/>
      <c r="F88" s="132">
        <f t="shared" si="32"/>
        <v>0</v>
      </c>
      <c r="G88" s="132">
        <f t="shared" si="32"/>
        <v>0</v>
      </c>
      <c r="H88" s="132">
        <f t="shared" si="32"/>
        <v>0</v>
      </c>
      <c r="I88" s="132"/>
      <c r="J88" s="132"/>
      <c r="K88" s="132"/>
      <c r="L88" s="132"/>
      <c r="M88" s="132"/>
      <c r="N88" s="132"/>
    </row>
    <row r="89" spans="1:16" hidden="1" x14ac:dyDescent="0.25">
      <c r="A89" s="145"/>
      <c r="B89" s="146"/>
      <c r="C89" s="144"/>
      <c r="D89" s="144"/>
      <c r="E89" s="144"/>
      <c r="F89" s="132">
        <f t="shared" si="32"/>
        <v>0</v>
      </c>
      <c r="G89" s="132">
        <f t="shared" si="32"/>
        <v>0</v>
      </c>
      <c r="H89" s="132">
        <f t="shared" si="32"/>
        <v>0</v>
      </c>
      <c r="I89" s="132"/>
      <c r="J89" s="132"/>
      <c r="K89" s="132"/>
      <c r="L89" s="132"/>
      <c r="M89" s="132"/>
      <c r="N89" s="132"/>
    </row>
    <row r="90" spans="1:16" hidden="1" x14ac:dyDescent="0.25">
      <c r="A90" s="145"/>
      <c r="B90" s="146"/>
      <c r="C90" s="144"/>
      <c r="D90" s="144"/>
      <c r="E90" s="144"/>
      <c r="F90" s="132">
        <f t="shared" si="32"/>
        <v>0</v>
      </c>
      <c r="G90" s="132">
        <f t="shared" si="32"/>
        <v>0</v>
      </c>
      <c r="H90" s="132">
        <f t="shared" si="32"/>
        <v>0</v>
      </c>
      <c r="I90" s="132"/>
      <c r="J90" s="132"/>
      <c r="K90" s="132"/>
      <c r="L90" s="132"/>
      <c r="M90" s="132"/>
      <c r="N90" s="132"/>
    </row>
    <row r="91" spans="1:16" hidden="1" x14ac:dyDescent="0.25">
      <c r="A91" s="145"/>
      <c r="B91" s="146"/>
      <c r="C91" s="144"/>
      <c r="D91" s="144"/>
      <c r="E91" s="144"/>
      <c r="F91" s="132">
        <f t="shared" si="32"/>
        <v>0</v>
      </c>
      <c r="G91" s="132">
        <f t="shared" si="32"/>
        <v>0</v>
      </c>
      <c r="H91" s="132">
        <f t="shared" si="32"/>
        <v>0</v>
      </c>
      <c r="I91" s="132"/>
      <c r="J91" s="132"/>
      <c r="K91" s="132"/>
      <c r="L91" s="132"/>
      <c r="M91" s="132"/>
      <c r="N91" s="132"/>
    </row>
    <row r="92" spans="1:16" s="40" customFormat="1" ht="14.25" hidden="1" x14ac:dyDescent="0.2">
      <c r="A92" s="147"/>
      <c r="B92" s="52"/>
      <c r="C92" s="51"/>
      <c r="D92" s="51"/>
      <c r="E92" s="51"/>
      <c r="F92" s="53">
        <f t="shared" ref="F92:N92" si="33">SUM(F93:F111)</f>
        <v>0</v>
      </c>
      <c r="G92" s="53">
        <f>SUM(G93:G111)</f>
        <v>0</v>
      </c>
      <c r="H92" s="53">
        <f t="shared" si="33"/>
        <v>0</v>
      </c>
      <c r="I92" s="53">
        <f t="shared" si="33"/>
        <v>0</v>
      </c>
      <c r="J92" s="53">
        <f t="shared" si="33"/>
        <v>0</v>
      </c>
      <c r="K92" s="53">
        <f t="shared" si="33"/>
        <v>0</v>
      </c>
      <c r="L92" s="53">
        <f t="shared" si="33"/>
        <v>0</v>
      </c>
      <c r="M92" s="53">
        <f t="shared" si="33"/>
        <v>0</v>
      </c>
      <c r="N92" s="53">
        <f t="shared" si="33"/>
        <v>0</v>
      </c>
      <c r="O92" s="54" t="s">
        <v>277</v>
      </c>
      <c r="P92" s="54"/>
    </row>
    <row r="93" spans="1:16" hidden="1" x14ac:dyDescent="0.25">
      <c r="A93" s="145"/>
      <c r="B93" s="146"/>
      <c r="C93" s="144"/>
      <c r="D93" s="144"/>
      <c r="E93" s="144"/>
      <c r="F93" s="132">
        <f t="shared" ref="F93:H111" si="34">I93+L93</f>
        <v>0</v>
      </c>
      <c r="G93" s="132">
        <f t="shared" si="34"/>
        <v>0</v>
      </c>
      <c r="H93" s="132">
        <f t="shared" si="34"/>
        <v>0</v>
      </c>
      <c r="I93" s="132"/>
      <c r="J93" s="132"/>
      <c r="K93" s="132"/>
      <c r="L93" s="132"/>
      <c r="M93" s="132"/>
      <c r="N93" s="132"/>
    </row>
    <row r="94" spans="1:16" hidden="1" x14ac:dyDescent="0.25">
      <c r="A94" s="145"/>
      <c r="B94" s="146"/>
      <c r="C94" s="144"/>
      <c r="D94" s="144"/>
      <c r="E94" s="144"/>
      <c r="F94" s="132">
        <f t="shared" si="34"/>
        <v>0</v>
      </c>
      <c r="G94" s="132">
        <f t="shared" si="34"/>
        <v>0</v>
      </c>
      <c r="H94" s="132">
        <f t="shared" si="34"/>
        <v>0</v>
      </c>
      <c r="I94" s="132"/>
      <c r="J94" s="132"/>
      <c r="K94" s="132"/>
      <c r="L94" s="132"/>
      <c r="M94" s="132"/>
      <c r="N94" s="132"/>
    </row>
    <row r="95" spans="1:16" hidden="1" x14ac:dyDescent="0.25">
      <c r="A95" s="145"/>
      <c r="B95" s="146"/>
      <c r="C95" s="144"/>
      <c r="D95" s="144"/>
      <c r="E95" s="144"/>
      <c r="F95" s="132">
        <f t="shared" si="34"/>
        <v>0</v>
      </c>
      <c r="G95" s="132">
        <f t="shared" si="34"/>
        <v>0</v>
      </c>
      <c r="H95" s="132">
        <f t="shared" si="34"/>
        <v>0</v>
      </c>
      <c r="I95" s="132"/>
      <c r="J95" s="132"/>
      <c r="K95" s="132"/>
      <c r="L95" s="132"/>
      <c r="M95" s="132"/>
      <c r="N95" s="132"/>
    </row>
    <row r="96" spans="1:16" hidden="1" x14ac:dyDescent="0.25">
      <c r="A96" s="145"/>
      <c r="B96" s="146"/>
      <c r="C96" s="144"/>
      <c r="D96" s="144"/>
      <c r="E96" s="144"/>
      <c r="F96" s="132">
        <f t="shared" si="34"/>
        <v>0</v>
      </c>
      <c r="G96" s="132">
        <f t="shared" si="34"/>
        <v>0</v>
      </c>
      <c r="H96" s="132">
        <f t="shared" si="34"/>
        <v>0</v>
      </c>
      <c r="I96" s="132"/>
      <c r="J96" s="132"/>
      <c r="K96" s="132"/>
      <c r="L96" s="132"/>
      <c r="M96" s="132"/>
      <c r="N96" s="132"/>
    </row>
    <row r="97" spans="1:16" hidden="1" x14ac:dyDescent="0.25">
      <c r="A97" s="145"/>
      <c r="B97" s="146"/>
      <c r="C97" s="144"/>
      <c r="D97" s="144"/>
      <c r="E97" s="144"/>
      <c r="F97" s="132">
        <f t="shared" si="34"/>
        <v>0</v>
      </c>
      <c r="G97" s="132">
        <f t="shared" si="34"/>
        <v>0</v>
      </c>
      <c r="H97" s="132">
        <f t="shared" si="34"/>
        <v>0</v>
      </c>
      <c r="I97" s="132"/>
      <c r="J97" s="132"/>
      <c r="K97" s="132"/>
      <c r="L97" s="132"/>
      <c r="M97" s="132"/>
      <c r="N97" s="132"/>
    </row>
    <row r="98" spans="1:16" hidden="1" x14ac:dyDescent="0.25">
      <c r="A98" s="145"/>
      <c r="B98" s="146"/>
      <c r="C98" s="144"/>
      <c r="D98" s="144"/>
      <c r="E98" s="144"/>
      <c r="F98" s="132">
        <f t="shared" si="34"/>
        <v>0</v>
      </c>
      <c r="G98" s="132">
        <f t="shared" si="34"/>
        <v>0</v>
      </c>
      <c r="H98" s="132">
        <f t="shared" si="34"/>
        <v>0</v>
      </c>
      <c r="I98" s="132"/>
      <c r="J98" s="132"/>
      <c r="K98" s="132"/>
      <c r="L98" s="132"/>
      <c r="M98" s="132"/>
      <c r="N98" s="132"/>
    </row>
    <row r="99" spans="1:16" hidden="1" x14ac:dyDescent="0.25">
      <c r="A99" s="145"/>
      <c r="B99" s="146"/>
      <c r="C99" s="144"/>
      <c r="D99" s="144"/>
      <c r="E99" s="144"/>
      <c r="F99" s="132">
        <f t="shared" si="34"/>
        <v>0</v>
      </c>
      <c r="G99" s="132">
        <f t="shared" si="34"/>
        <v>0</v>
      </c>
      <c r="H99" s="132">
        <f t="shared" si="34"/>
        <v>0</v>
      </c>
      <c r="I99" s="132"/>
      <c r="J99" s="132"/>
      <c r="K99" s="132"/>
      <c r="L99" s="132"/>
      <c r="M99" s="132"/>
      <c r="N99" s="132"/>
    </row>
    <row r="100" spans="1:16" hidden="1" x14ac:dyDescent="0.25">
      <c r="A100" s="145"/>
      <c r="B100" s="146"/>
      <c r="C100" s="144"/>
      <c r="D100" s="144"/>
      <c r="E100" s="144"/>
      <c r="F100" s="132">
        <f t="shared" si="34"/>
        <v>0</v>
      </c>
      <c r="G100" s="132">
        <f t="shared" si="34"/>
        <v>0</v>
      </c>
      <c r="H100" s="132">
        <f t="shared" si="34"/>
        <v>0</v>
      </c>
      <c r="I100" s="132"/>
      <c r="J100" s="132"/>
      <c r="K100" s="132"/>
      <c r="L100" s="132"/>
      <c r="M100" s="132"/>
      <c r="N100" s="132"/>
    </row>
    <row r="101" spans="1:16" hidden="1" x14ac:dyDescent="0.25">
      <c r="A101" s="145"/>
      <c r="B101" s="146"/>
      <c r="C101" s="144"/>
      <c r="D101" s="144"/>
      <c r="E101" s="144"/>
      <c r="F101" s="132">
        <f t="shared" si="34"/>
        <v>0</v>
      </c>
      <c r="G101" s="132">
        <f t="shared" si="34"/>
        <v>0</v>
      </c>
      <c r="H101" s="132">
        <f t="shared" si="34"/>
        <v>0</v>
      </c>
      <c r="I101" s="132"/>
      <c r="J101" s="132"/>
      <c r="K101" s="132"/>
      <c r="L101" s="132"/>
      <c r="M101" s="132"/>
      <c r="N101" s="132"/>
    </row>
    <row r="102" spans="1:16" hidden="1" x14ac:dyDescent="0.25">
      <c r="A102" s="145"/>
      <c r="B102" s="146"/>
      <c r="C102" s="144"/>
      <c r="D102" s="144"/>
      <c r="E102" s="144"/>
      <c r="F102" s="132">
        <f t="shared" si="34"/>
        <v>0</v>
      </c>
      <c r="G102" s="132">
        <f t="shared" si="34"/>
        <v>0</v>
      </c>
      <c r="H102" s="132">
        <f t="shared" si="34"/>
        <v>0</v>
      </c>
      <c r="I102" s="132"/>
      <c r="J102" s="132"/>
      <c r="K102" s="132"/>
      <c r="L102" s="132"/>
      <c r="M102" s="132"/>
      <c r="N102" s="132"/>
    </row>
    <row r="103" spans="1:16" hidden="1" x14ac:dyDescent="0.25">
      <c r="A103" s="145"/>
      <c r="B103" s="146"/>
      <c r="C103" s="144"/>
      <c r="D103" s="144"/>
      <c r="E103" s="144"/>
      <c r="F103" s="132">
        <f t="shared" si="34"/>
        <v>0</v>
      </c>
      <c r="G103" s="132">
        <f t="shared" si="34"/>
        <v>0</v>
      </c>
      <c r="H103" s="132">
        <f t="shared" si="34"/>
        <v>0</v>
      </c>
      <c r="I103" s="132"/>
      <c r="J103" s="132"/>
      <c r="K103" s="132"/>
      <c r="L103" s="132"/>
      <c r="M103" s="132"/>
      <c r="N103" s="132"/>
    </row>
    <row r="104" spans="1:16" hidden="1" x14ac:dyDescent="0.25">
      <c r="A104" s="145"/>
      <c r="B104" s="146"/>
      <c r="C104" s="144"/>
      <c r="D104" s="144"/>
      <c r="E104" s="144"/>
      <c r="F104" s="132">
        <f t="shared" si="34"/>
        <v>0</v>
      </c>
      <c r="G104" s="132">
        <f t="shared" si="34"/>
        <v>0</v>
      </c>
      <c r="H104" s="132">
        <f t="shared" si="34"/>
        <v>0</v>
      </c>
      <c r="I104" s="132"/>
      <c r="J104" s="132"/>
      <c r="K104" s="132"/>
      <c r="L104" s="132"/>
      <c r="M104" s="132"/>
      <c r="N104" s="132"/>
    </row>
    <row r="105" spans="1:16" hidden="1" x14ac:dyDescent="0.25">
      <c r="A105" s="145"/>
      <c r="B105" s="146"/>
      <c r="C105" s="144"/>
      <c r="D105" s="144"/>
      <c r="E105" s="144"/>
      <c r="F105" s="132">
        <f t="shared" si="34"/>
        <v>0</v>
      </c>
      <c r="G105" s="132">
        <f t="shared" si="34"/>
        <v>0</v>
      </c>
      <c r="H105" s="132">
        <f t="shared" si="34"/>
        <v>0</v>
      </c>
      <c r="I105" s="132"/>
      <c r="J105" s="132"/>
      <c r="K105" s="132"/>
      <c r="L105" s="132"/>
      <c r="M105" s="132"/>
      <c r="N105" s="132"/>
    </row>
    <row r="106" spans="1:16" hidden="1" x14ac:dyDescent="0.25">
      <c r="A106" s="145"/>
      <c r="B106" s="146"/>
      <c r="C106" s="144"/>
      <c r="D106" s="144"/>
      <c r="E106" s="144"/>
      <c r="F106" s="132">
        <f t="shared" si="34"/>
        <v>0</v>
      </c>
      <c r="G106" s="132">
        <f t="shared" si="34"/>
        <v>0</v>
      </c>
      <c r="H106" s="132">
        <f t="shared" si="34"/>
        <v>0</v>
      </c>
      <c r="I106" s="132"/>
      <c r="J106" s="132"/>
      <c r="K106" s="132"/>
      <c r="L106" s="132"/>
      <c r="M106" s="132"/>
      <c r="N106" s="132"/>
    </row>
    <row r="107" spans="1:16" hidden="1" x14ac:dyDescent="0.25">
      <c r="A107" s="145"/>
      <c r="B107" s="146"/>
      <c r="C107" s="144"/>
      <c r="D107" s="144"/>
      <c r="E107" s="144"/>
      <c r="F107" s="132">
        <f t="shared" si="34"/>
        <v>0</v>
      </c>
      <c r="G107" s="132">
        <f t="shared" si="34"/>
        <v>0</v>
      </c>
      <c r="H107" s="132">
        <f t="shared" si="34"/>
        <v>0</v>
      </c>
      <c r="I107" s="132"/>
      <c r="J107" s="132"/>
      <c r="K107" s="132"/>
      <c r="L107" s="132"/>
      <c r="M107" s="132"/>
      <c r="N107" s="132"/>
    </row>
    <row r="108" spans="1:16" hidden="1" x14ac:dyDescent="0.25">
      <c r="A108" s="145"/>
      <c r="B108" s="146"/>
      <c r="C108" s="144"/>
      <c r="D108" s="144"/>
      <c r="E108" s="144"/>
      <c r="F108" s="132">
        <f t="shared" si="34"/>
        <v>0</v>
      </c>
      <c r="G108" s="132">
        <f t="shared" si="34"/>
        <v>0</v>
      </c>
      <c r="H108" s="132">
        <f t="shared" si="34"/>
        <v>0</v>
      </c>
      <c r="I108" s="132"/>
      <c r="J108" s="132"/>
      <c r="K108" s="132"/>
      <c r="L108" s="132"/>
      <c r="M108" s="132"/>
      <c r="N108" s="132"/>
    </row>
    <row r="109" spans="1:16" hidden="1" x14ac:dyDescent="0.25">
      <c r="A109" s="145"/>
      <c r="B109" s="146"/>
      <c r="C109" s="144"/>
      <c r="D109" s="144"/>
      <c r="E109" s="144"/>
      <c r="F109" s="132">
        <f t="shared" si="34"/>
        <v>0</v>
      </c>
      <c r="G109" s="132">
        <f t="shared" si="34"/>
        <v>0</v>
      </c>
      <c r="H109" s="132">
        <f t="shared" si="34"/>
        <v>0</v>
      </c>
      <c r="I109" s="132"/>
      <c r="J109" s="132"/>
      <c r="K109" s="132"/>
      <c r="L109" s="132"/>
      <c r="M109" s="132"/>
      <c r="N109" s="132"/>
    </row>
    <row r="110" spans="1:16" hidden="1" x14ac:dyDescent="0.25">
      <c r="A110" s="145"/>
      <c r="B110" s="146"/>
      <c r="C110" s="144"/>
      <c r="D110" s="144"/>
      <c r="E110" s="144"/>
      <c r="F110" s="132">
        <f t="shared" si="34"/>
        <v>0</v>
      </c>
      <c r="G110" s="132">
        <f t="shared" si="34"/>
        <v>0</v>
      </c>
      <c r="H110" s="132">
        <f t="shared" si="34"/>
        <v>0</v>
      </c>
      <c r="I110" s="132"/>
      <c r="J110" s="132"/>
      <c r="K110" s="132"/>
      <c r="L110" s="132"/>
      <c r="M110" s="132"/>
      <c r="N110" s="132"/>
    </row>
    <row r="111" spans="1:16" hidden="1" x14ac:dyDescent="0.25">
      <c r="A111" s="145"/>
      <c r="B111" s="146"/>
      <c r="C111" s="144"/>
      <c r="D111" s="144"/>
      <c r="E111" s="144"/>
      <c r="F111" s="132">
        <f t="shared" si="34"/>
        <v>0</v>
      </c>
      <c r="G111" s="132">
        <f t="shared" si="34"/>
        <v>0</v>
      </c>
      <c r="H111" s="132">
        <f t="shared" si="34"/>
        <v>0</v>
      </c>
      <c r="I111" s="132"/>
      <c r="J111" s="132"/>
      <c r="K111" s="132"/>
      <c r="L111" s="132"/>
      <c r="M111" s="132"/>
      <c r="N111" s="132"/>
    </row>
    <row r="112" spans="1:16" s="199" customFormat="1" ht="14.25" x14ac:dyDescent="0.2">
      <c r="A112" s="153" t="s">
        <v>393</v>
      </c>
      <c r="B112" s="153"/>
      <c r="C112" s="154"/>
      <c r="D112" s="154"/>
      <c r="E112" s="154"/>
      <c r="F112" s="155">
        <f t="shared" ref="F112:N112" si="35">SUM(F113:F131)</f>
        <v>8905685</v>
      </c>
      <c r="G112" s="155">
        <f t="shared" si="35"/>
        <v>52012</v>
      </c>
      <c r="H112" s="155">
        <f t="shared" si="35"/>
        <v>52012</v>
      </c>
      <c r="I112" s="155">
        <f>I113+I114+I115+I116+I120+I121+I122</f>
        <v>7716711</v>
      </c>
      <c r="J112" s="155">
        <f t="shared" ref="J112:K112" si="36">J113+J114+J115+J116+J120+J121+J122</f>
        <v>7716711</v>
      </c>
      <c r="K112" s="155">
        <f t="shared" si="36"/>
        <v>7716711</v>
      </c>
      <c r="L112" s="155">
        <f t="shared" si="35"/>
        <v>329748.64</v>
      </c>
      <c r="M112" s="155">
        <f t="shared" si="35"/>
        <v>0</v>
      </c>
      <c r="N112" s="155">
        <f t="shared" si="35"/>
        <v>0</v>
      </c>
      <c r="O112" s="198" t="s">
        <v>391</v>
      </c>
      <c r="P112" s="198" t="s">
        <v>392</v>
      </c>
    </row>
    <row r="113" spans="1:15" x14ac:dyDescent="0.25">
      <c r="A113" s="55" t="s">
        <v>279</v>
      </c>
      <c r="B113" s="55"/>
      <c r="C113" s="56" t="s">
        <v>280</v>
      </c>
      <c r="D113" s="56" t="s">
        <v>281</v>
      </c>
      <c r="E113" s="56" t="s">
        <v>282</v>
      </c>
      <c r="F113" s="57">
        <v>6774548</v>
      </c>
      <c r="G113" s="57">
        <v>0</v>
      </c>
      <c r="H113" s="57">
        <v>0</v>
      </c>
      <c r="I113" s="58">
        <v>5894592</v>
      </c>
      <c r="J113" s="58">
        <v>5894592</v>
      </c>
      <c r="K113" s="58">
        <v>5894592</v>
      </c>
      <c r="L113" s="57">
        <v>329748.64</v>
      </c>
      <c r="M113" s="57"/>
      <c r="N113" s="57"/>
    </row>
    <row r="114" spans="1:15" s="61" customFormat="1" x14ac:dyDescent="0.25">
      <c r="A114" s="55" t="s">
        <v>285</v>
      </c>
      <c r="B114" s="55"/>
      <c r="C114" s="56" t="s">
        <v>287</v>
      </c>
      <c r="D114" s="56" t="s">
        <v>288</v>
      </c>
      <c r="E114" s="56" t="s">
        <v>284</v>
      </c>
      <c r="F114" s="57">
        <v>0</v>
      </c>
      <c r="G114" s="57">
        <v>0</v>
      </c>
      <c r="H114" s="57">
        <v>0</v>
      </c>
      <c r="I114" s="58"/>
      <c r="J114" s="58"/>
      <c r="K114" s="58"/>
      <c r="L114" s="57"/>
      <c r="M114" s="57"/>
      <c r="N114" s="57"/>
      <c r="O114" s="60"/>
    </row>
    <row r="115" spans="1:15" x14ac:dyDescent="0.25">
      <c r="A115" s="55" t="s">
        <v>292</v>
      </c>
      <c r="B115" s="55"/>
      <c r="C115" s="56" t="s">
        <v>293</v>
      </c>
      <c r="D115" s="56" t="s">
        <v>294</v>
      </c>
      <c r="E115" s="56" t="s">
        <v>295</v>
      </c>
      <c r="F115" s="57">
        <v>2079125</v>
      </c>
      <c r="G115" s="57">
        <v>0</v>
      </c>
      <c r="H115" s="57">
        <v>0</v>
      </c>
      <c r="I115" s="58">
        <v>1780167</v>
      </c>
      <c r="J115" s="58">
        <v>1780167</v>
      </c>
      <c r="K115" s="58">
        <v>1780167</v>
      </c>
      <c r="L115" s="57"/>
      <c r="M115" s="57"/>
      <c r="N115" s="57"/>
    </row>
    <row r="116" spans="1:15" ht="14.25" customHeight="1" x14ac:dyDescent="0.25">
      <c r="A116" s="55" t="s">
        <v>394</v>
      </c>
      <c r="B116" s="55"/>
      <c r="C116" s="56" t="s">
        <v>287</v>
      </c>
      <c r="D116" s="56" t="s">
        <v>297</v>
      </c>
      <c r="E116" s="56" t="s">
        <v>290</v>
      </c>
      <c r="F116" s="57">
        <f t="shared" ref="F116" si="37">I116+L116</f>
        <v>10060</v>
      </c>
      <c r="G116" s="57">
        <f t="shared" ref="G116" si="38">J116+M116</f>
        <v>10060</v>
      </c>
      <c r="H116" s="57">
        <f t="shared" ref="H116" si="39">K116+N116</f>
        <v>10060</v>
      </c>
      <c r="I116" s="58">
        <f>SUM(I117:I119)</f>
        <v>10060</v>
      </c>
      <c r="J116" s="58">
        <f>SUM(J117:J119)</f>
        <v>10060</v>
      </c>
      <c r="K116" s="58">
        <f t="shared" ref="K116" si="40">SUM(K117:K119)</f>
        <v>10060</v>
      </c>
      <c r="L116" s="57"/>
      <c r="M116" s="57"/>
      <c r="N116" s="57"/>
      <c r="O116" s="59"/>
    </row>
    <row r="117" spans="1:15" x14ac:dyDescent="0.25">
      <c r="A117" s="74" t="s">
        <v>395</v>
      </c>
      <c r="B117" s="75"/>
      <c r="C117" s="73" t="s">
        <v>287</v>
      </c>
      <c r="D117" s="73" t="s">
        <v>297</v>
      </c>
      <c r="E117" s="73" t="s">
        <v>290</v>
      </c>
      <c r="F117" s="57">
        <f t="shared" ref="F117:H131" si="41">I117+L117</f>
        <v>7060</v>
      </c>
      <c r="G117" s="57">
        <f t="shared" si="41"/>
        <v>7060</v>
      </c>
      <c r="H117" s="57">
        <f t="shared" si="41"/>
        <v>7060</v>
      </c>
      <c r="I117" s="57">
        <v>7060</v>
      </c>
      <c r="J117" s="57">
        <v>7060</v>
      </c>
      <c r="K117" s="57">
        <v>7060</v>
      </c>
      <c r="L117" s="57"/>
      <c r="M117" s="57"/>
      <c r="N117" s="57"/>
    </row>
    <row r="118" spans="1:15" x14ac:dyDescent="0.25">
      <c r="A118" s="74" t="s">
        <v>396</v>
      </c>
      <c r="B118" s="75"/>
      <c r="C118" s="73" t="s">
        <v>287</v>
      </c>
      <c r="D118" s="73" t="s">
        <v>297</v>
      </c>
      <c r="E118" s="73" t="s">
        <v>290</v>
      </c>
      <c r="F118" s="57">
        <f t="shared" ref="F118:F119" si="42">I118+L118</f>
        <v>1000</v>
      </c>
      <c r="G118" s="57">
        <f t="shared" ref="G118:G119" si="43">J118+M118</f>
        <v>1000</v>
      </c>
      <c r="H118" s="57">
        <f t="shared" ref="H118:H119" si="44">K118+N118</f>
        <v>1000</v>
      </c>
      <c r="I118" s="57">
        <v>1000</v>
      </c>
      <c r="J118" s="57">
        <v>1000</v>
      </c>
      <c r="K118" s="57">
        <v>1000</v>
      </c>
      <c r="L118" s="57"/>
      <c r="M118" s="57"/>
      <c r="N118" s="57"/>
    </row>
    <row r="119" spans="1:15" x14ac:dyDescent="0.25">
      <c r="A119" s="74" t="s">
        <v>397</v>
      </c>
      <c r="B119" s="75"/>
      <c r="C119" s="73" t="s">
        <v>287</v>
      </c>
      <c r="D119" s="73" t="s">
        <v>297</v>
      </c>
      <c r="E119" s="73" t="s">
        <v>290</v>
      </c>
      <c r="F119" s="57">
        <f t="shared" si="42"/>
        <v>2000</v>
      </c>
      <c r="G119" s="57">
        <f t="shared" si="43"/>
        <v>2000</v>
      </c>
      <c r="H119" s="57">
        <f t="shared" si="44"/>
        <v>2000</v>
      </c>
      <c r="I119" s="57">
        <v>2000</v>
      </c>
      <c r="J119" s="57">
        <v>2000</v>
      </c>
      <c r="K119" s="57">
        <v>2000</v>
      </c>
      <c r="L119" s="57"/>
      <c r="M119" s="57"/>
      <c r="N119" s="57"/>
    </row>
    <row r="120" spans="1:15" x14ac:dyDescent="0.25">
      <c r="A120" s="74" t="s">
        <v>398</v>
      </c>
      <c r="B120" s="75"/>
      <c r="C120" s="73" t="s">
        <v>287</v>
      </c>
      <c r="D120" s="73" t="s">
        <v>297</v>
      </c>
      <c r="E120" s="73" t="s">
        <v>290</v>
      </c>
      <c r="F120" s="57">
        <f t="shared" si="41"/>
        <v>6157</v>
      </c>
      <c r="G120" s="57">
        <f t="shared" si="41"/>
        <v>6157</v>
      </c>
      <c r="H120" s="57">
        <f t="shared" si="41"/>
        <v>6157</v>
      </c>
      <c r="I120" s="57">
        <v>6157</v>
      </c>
      <c r="J120" s="57">
        <v>6157</v>
      </c>
      <c r="K120" s="57">
        <v>6157</v>
      </c>
      <c r="L120" s="57"/>
      <c r="M120" s="57"/>
      <c r="N120" s="57"/>
    </row>
    <row r="121" spans="1:15" s="61" customFormat="1" x14ac:dyDescent="0.25">
      <c r="A121" s="67" t="s">
        <v>340</v>
      </c>
      <c r="B121" s="55"/>
      <c r="C121" s="56" t="s">
        <v>287</v>
      </c>
      <c r="D121" s="68" t="s">
        <v>297</v>
      </c>
      <c r="E121" s="56" t="s">
        <v>341</v>
      </c>
      <c r="F121" s="57">
        <f t="shared" si="41"/>
        <v>25735</v>
      </c>
      <c r="G121" s="57">
        <f t="shared" si="41"/>
        <v>25735</v>
      </c>
      <c r="H121" s="57">
        <f t="shared" si="41"/>
        <v>25735</v>
      </c>
      <c r="I121" s="58">
        <v>25735</v>
      </c>
      <c r="J121" s="58">
        <v>25735</v>
      </c>
      <c r="K121" s="58">
        <v>25735</v>
      </c>
      <c r="L121" s="57"/>
      <c r="M121" s="57"/>
      <c r="N121" s="57"/>
      <c r="O121" s="60"/>
    </row>
    <row r="122" spans="1:15" s="61" customFormat="1" x14ac:dyDescent="0.25">
      <c r="A122" s="67" t="s">
        <v>399</v>
      </c>
      <c r="B122" s="55"/>
      <c r="C122" s="56" t="s">
        <v>287</v>
      </c>
      <c r="D122" s="68" t="s">
        <v>297</v>
      </c>
      <c r="E122" s="56" t="s">
        <v>343</v>
      </c>
      <c r="F122" s="57">
        <f t="shared" ref="F122" si="45">I122+L122</f>
        <v>0</v>
      </c>
      <c r="G122" s="57">
        <f t="shared" ref="G122" si="46">J122+M122</f>
        <v>0</v>
      </c>
      <c r="H122" s="57">
        <f t="shared" ref="H122" si="47">K122+N122</f>
        <v>0</v>
      </c>
      <c r="I122" s="58"/>
      <c r="J122" s="58"/>
      <c r="K122" s="58"/>
      <c r="L122" s="57"/>
      <c r="M122" s="57"/>
      <c r="N122" s="57"/>
      <c r="O122" s="60"/>
    </row>
    <row r="123" spans="1:15" hidden="1" x14ac:dyDescent="0.25">
      <c r="A123" s="74"/>
      <c r="B123" s="75"/>
      <c r="C123" s="73"/>
      <c r="D123" s="73"/>
      <c r="E123" s="73"/>
      <c r="F123" s="57">
        <f t="shared" si="41"/>
        <v>0</v>
      </c>
      <c r="G123" s="57">
        <f t="shared" si="41"/>
        <v>0</v>
      </c>
      <c r="H123" s="57">
        <f t="shared" si="41"/>
        <v>0</v>
      </c>
      <c r="I123" s="57"/>
      <c r="J123" s="57"/>
      <c r="K123" s="57"/>
      <c r="L123" s="57"/>
      <c r="M123" s="57"/>
      <c r="N123" s="57"/>
    </row>
    <row r="124" spans="1:15" hidden="1" x14ac:dyDescent="0.25">
      <c r="A124" s="74"/>
      <c r="B124" s="75"/>
      <c r="C124" s="73"/>
      <c r="D124" s="73"/>
      <c r="E124" s="73"/>
      <c r="F124" s="57">
        <f t="shared" si="41"/>
        <v>0</v>
      </c>
      <c r="G124" s="57">
        <f t="shared" si="41"/>
        <v>0</v>
      </c>
      <c r="H124" s="57">
        <f t="shared" si="41"/>
        <v>0</v>
      </c>
      <c r="I124" s="57"/>
      <c r="J124" s="57"/>
      <c r="K124" s="57"/>
      <c r="L124" s="57"/>
      <c r="M124" s="57"/>
      <c r="N124" s="57"/>
    </row>
    <row r="125" spans="1:15" hidden="1" x14ac:dyDescent="0.25">
      <c r="A125" s="74"/>
      <c r="B125" s="75"/>
      <c r="C125" s="73"/>
      <c r="D125" s="73"/>
      <c r="E125" s="73"/>
      <c r="F125" s="57">
        <f t="shared" si="41"/>
        <v>0</v>
      </c>
      <c r="G125" s="57">
        <f t="shared" si="41"/>
        <v>0</v>
      </c>
      <c r="H125" s="57">
        <f t="shared" si="41"/>
        <v>0</v>
      </c>
      <c r="I125" s="57"/>
      <c r="J125" s="57"/>
      <c r="K125" s="57"/>
      <c r="L125" s="57"/>
      <c r="M125" s="57"/>
      <c r="N125" s="57"/>
    </row>
    <row r="126" spans="1:15" hidden="1" x14ac:dyDescent="0.25">
      <c r="A126" s="74"/>
      <c r="B126" s="75"/>
      <c r="C126" s="73"/>
      <c r="D126" s="73"/>
      <c r="E126" s="73"/>
      <c r="F126" s="57">
        <f t="shared" si="41"/>
        <v>0</v>
      </c>
      <c r="G126" s="57">
        <f t="shared" si="41"/>
        <v>0</v>
      </c>
      <c r="H126" s="57">
        <f t="shared" si="41"/>
        <v>0</v>
      </c>
      <c r="I126" s="57"/>
      <c r="J126" s="57"/>
      <c r="K126" s="57"/>
      <c r="L126" s="57"/>
      <c r="M126" s="57"/>
      <c r="N126" s="57"/>
    </row>
    <row r="127" spans="1:15" hidden="1" x14ac:dyDescent="0.25">
      <c r="A127" s="74"/>
      <c r="B127" s="75"/>
      <c r="C127" s="73"/>
      <c r="D127" s="73"/>
      <c r="E127" s="73"/>
      <c r="F127" s="57">
        <f t="shared" si="41"/>
        <v>0</v>
      </c>
      <c r="G127" s="57">
        <f t="shared" si="41"/>
        <v>0</v>
      </c>
      <c r="H127" s="57">
        <f t="shared" si="41"/>
        <v>0</v>
      </c>
      <c r="I127" s="57"/>
      <c r="J127" s="57"/>
      <c r="K127" s="57"/>
      <c r="L127" s="57"/>
      <c r="M127" s="57"/>
      <c r="N127" s="57"/>
    </row>
    <row r="128" spans="1:15" hidden="1" x14ac:dyDescent="0.25">
      <c r="A128" s="74"/>
      <c r="B128" s="75"/>
      <c r="C128" s="73"/>
      <c r="D128" s="73"/>
      <c r="E128" s="73"/>
      <c r="F128" s="57">
        <f t="shared" si="41"/>
        <v>0</v>
      </c>
      <c r="G128" s="57">
        <f t="shared" si="41"/>
        <v>0</v>
      </c>
      <c r="H128" s="57">
        <f t="shared" si="41"/>
        <v>0</v>
      </c>
      <c r="I128" s="57"/>
      <c r="J128" s="57"/>
      <c r="K128" s="57"/>
      <c r="L128" s="57"/>
      <c r="M128" s="57"/>
      <c r="N128" s="57"/>
    </row>
    <row r="129" spans="1:16" hidden="1" x14ac:dyDescent="0.25">
      <c r="A129" s="74"/>
      <c r="B129" s="75"/>
      <c r="C129" s="73"/>
      <c r="D129" s="73"/>
      <c r="E129" s="73"/>
      <c r="F129" s="57">
        <f t="shared" si="41"/>
        <v>0</v>
      </c>
      <c r="G129" s="57">
        <f t="shared" si="41"/>
        <v>0</v>
      </c>
      <c r="H129" s="57">
        <f t="shared" si="41"/>
        <v>0</v>
      </c>
      <c r="I129" s="57"/>
      <c r="J129" s="57"/>
      <c r="K129" s="57"/>
      <c r="L129" s="57"/>
      <c r="M129" s="57"/>
      <c r="N129" s="57"/>
    </row>
    <row r="130" spans="1:16" hidden="1" x14ac:dyDescent="0.25">
      <c r="A130" s="74"/>
      <c r="B130" s="75"/>
      <c r="C130" s="73"/>
      <c r="D130" s="73"/>
      <c r="E130" s="73"/>
      <c r="F130" s="57">
        <f t="shared" si="41"/>
        <v>0</v>
      </c>
      <c r="G130" s="57">
        <f t="shared" si="41"/>
        <v>0</v>
      </c>
      <c r="H130" s="57">
        <f t="shared" si="41"/>
        <v>0</v>
      </c>
      <c r="I130" s="57"/>
      <c r="J130" s="57"/>
      <c r="K130" s="57"/>
      <c r="L130" s="57"/>
      <c r="M130" s="57"/>
      <c r="N130" s="57"/>
    </row>
    <row r="131" spans="1:16" hidden="1" x14ac:dyDescent="0.25">
      <c r="A131" s="74"/>
      <c r="B131" s="75"/>
      <c r="C131" s="73"/>
      <c r="D131" s="73"/>
      <c r="E131" s="73"/>
      <c r="F131" s="57">
        <f t="shared" si="41"/>
        <v>0</v>
      </c>
      <c r="G131" s="57">
        <f t="shared" si="41"/>
        <v>0</v>
      </c>
      <c r="H131" s="57">
        <f t="shared" si="41"/>
        <v>0</v>
      </c>
      <c r="I131" s="57"/>
      <c r="J131" s="57"/>
      <c r="K131" s="57"/>
      <c r="L131" s="57"/>
      <c r="M131" s="57"/>
      <c r="N131" s="57"/>
    </row>
    <row r="132" spans="1:16" s="47" customFormat="1" ht="14.25" x14ac:dyDescent="0.2">
      <c r="A132" s="49" t="s">
        <v>352</v>
      </c>
      <c r="B132" s="50"/>
      <c r="C132" s="51" t="s">
        <v>26</v>
      </c>
      <c r="D132" s="51" t="s">
        <v>26</v>
      </c>
      <c r="E132" s="51" t="s">
        <v>26</v>
      </c>
      <c r="F132" s="48">
        <f>SUM(F133,F137,F143,F147,F167,F171)</f>
        <v>0</v>
      </c>
      <c r="G132" s="48">
        <f t="shared" ref="G132:N132" si="48">SUM(G133,G137,G143,G147,G167,G171)</f>
        <v>0</v>
      </c>
      <c r="H132" s="48">
        <f t="shared" si="48"/>
        <v>0</v>
      </c>
      <c r="I132" s="48">
        <f>SUM(I133,I147,I176,I181)</f>
        <v>26230.32</v>
      </c>
      <c r="J132" s="48">
        <f t="shared" ref="J132:K132" si="49">SUM(J133,J147,J176,J181)</f>
        <v>0</v>
      </c>
      <c r="K132" s="48">
        <f t="shared" si="49"/>
        <v>0</v>
      </c>
      <c r="L132" s="48">
        <f t="shared" si="48"/>
        <v>0</v>
      </c>
      <c r="M132" s="48">
        <f t="shared" si="48"/>
        <v>0</v>
      </c>
      <c r="N132" s="48">
        <f t="shared" si="48"/>
        <v>0</v>
      </c>
    </row>
    <row r="133" spans="1:16" s="40" customFormat="1" ht="14.25" x14ac:dyDescent="0.2">
      <c r="A133" s="77"/>
      <c r="B133" s="78"/>
      <c r="C133" s="72"/>
      <c r="D133" s="72"/>
      <c r="E133" s="72"/>
      <c r="F133" s="64">
        <f>SUM(F134:F136)</f>
        <v>0</v>
      </c>
      <c r="G133" s="64">
        <f t="shared" ref="G133:H133" si="50">SUM(G134:G136)</f>
        <v>0</v>
      </c>
      <c r="H133" s="64">
        <f t="shared" si="50"/>
        <v>0</v>
      </c>
      <c r="I133" s="64">
        <f>SUM(I134:I136)</f>
        <v>0</v>
      </c>
      <c r="J133" s="64">
        <f t="shared" ref="J133:K133" si="51">SUM(J134:J136)</f>
        <v>0</v>
      </c>
      <c r="K133" s="64">
        <f t="shared" si="51"/>
        <v>0</v>
      </c>
      <c r="L133" s="64">
        <f>SUM(L134:L136)</f>
        <v>0</v>
      </c>
      <c r="M133" s="64">
        <f t="shared" ref="M133:N133" si="52">SUM(M134:M136)</f>
        <v>0</v>
      </c>
      <c r="N133" s="64">
        <f t="shared" si="52"/>
        <v>0</v>
      </c>
      <c r="O133" s="54" t="s">
        <v>353</v>
      </c>
      <c r="P133" s="54"/>
    </row>
    <row r="134" spans="1:16" x14ac:dyDescent="0.25">
      <c r="A134" s="74" t="s">
        <v>622</v>
      </c>
      <c r="B134" s="75"/>
      <c r="C134" s="73"/>
      <c r="D134" s="73"/>
      <c r="E134" s="73"/>
      <c r="F134" s="57">
        <f t="shared" ref="F134:H136" si="53">I134+L134</f>
        <v>0</v>
      </c>
      <c r="G134" s="57">
        <f t="shared" si="53"/>
        <v>0</v>
      </c>
      <c r="H134" s="57">
        <f t="shared" si="53"/>
        <v>0</v>
      </c>
      <c r="I134" s="57"/>
      <c r="J134" s="57"/>
      <c r="K134" s="57"/>
      <c r="L134" s="57"/>
      <c r="M134" s="57"/>
      <c r="N134" s="57"/>
    </row>
    <row r="135" spans="1:16" x14ac:dyDescent="0.25">
      <c r="A135" s="75"/>
      <c r="B135" s="75"/>
      <c r="C135" s="56" t="s">
        <v>287</v>
      </c>
      <c r="D135" s="68" t="s">
        <v>297</v>
      </c>
      <c r="E135" s="73" t="s">
        <v>635</v>
      </c>
      <c r="F135" s="57">
        <f t="shared" si="53"/>
        <v>0</v>
      </c>
      <c r="G135" s="57">
        <f t="shared" si="53"/>
        <v>0</v>
      </c>
      <c r="H135" s="57">
        <f t="shared" si="53"/>
        <v>0</v>
      </c>
      <c r="I135" s="57"/>
      <c r="J135" s="57"/>
      <c r="K135" s="57"/>
      <c r="L135" s="57"/>
      <c r="M135" s="57"/>
      <c r="N135" s="57"/>
    </row>
    <row r="136" spans="1:16" ht="30" x14ac:dyDescent="0.25">
      <c r="A136" s="55" t="s">
        <v>636</v>
      </c>
      <c r="B136" s="75"/>
      <c r="C136" s="56" t="s">
        <v>287</v>
      </c>
      <c r="D136" s="68" t="s">
        <v>297</v>
      </c>
      <c r="E136" s="73" t="s">
        <v>634</v>
      </c>
      <c r="F136" s="57">
        <f t="shared" si="53"/>
        <v>0</v>
      </c>
      <c r="G136" s="57">
        <f t="shared" si="53"/>
        <v>0</v>
      </c>
      <c r="H136" s="57">
        <f t="shared" si="53"/>
        <v>0</v>
      </c>
      <c r="I136" s="57"/>
      <c r="J136" s="57"/>
      <c r="K136" s="57"/>
      <c r="L136" s="57"/>
      <c r="M136" s="57"/>
      <c r="N136" s="57"/>
    </row>
    <row r="137" spans="1:16" s="40" customFormat="1" ht="14.25" hidden="1" x14ac:dyDescent="0.2">
      <c r="A137" s="79" t="s">
        <v>761</v>
      </c>
      <c r="B137" s="80"/>
      <c r="C137" s="72"/>
      <c r="D137" s="72"/>
      <c r="E137" s="72"/>
      <c r="F137" s="64">
        <f t="shared" ref="F137:N137" si="54">SUM(F138:F142)</f>
        <v>0</v>
      </c>
      <c r="G137" s="64">
        <f t="shared" si="54"/>
        <v>0</v>
      </c>
      <c r="H137" s="64">
        <f t="shared" si="54"/>
        <v>0</v>
      </c>
      <c r="I137" s="64">
        <f>SUM(I138:I142)</f>
        <v>0</v>
      </c>
      <c r="J137" s="64">
        <f t="shared" si="54"/>
        <v>0</v>
      </c>
      <c r="K137" s="64">
        <f t="shared" si="54"/>
        <v>0</v>
      </c>
      <c r="L137" s="64">
        <f t="shared" si="54"/>
        <v>0</v>
      </c>
      <c r="M137" s="64">
        <f t="shared" si="54"/>
        <v>0</v>
      </c>
      <c r="N137" s="64">
        <f t="shared" si="54"/>
        <v>0</v>
      </c>
      <c r="O137" s="54" t="s">
        <v>353</v>
      </c>
      <c r="P137" s="54" t="s">
        <v>354</v>
      </c>
    </row>
    <row r="138" spans="1:16" hidden="1" x14ac:dyDescent="0.25">
      <c r="A138" s="74"/>
      <c r="B138" s="75"/>
      <c r="C138" s="73"/>
      <c r="D138" s="73"/>
      <c r="E138" s="73"/>
      <c r="F138" s="57">
        <f t="shared" ref="F138:H142" si="55">I138+L138</f>
        <v>0</v>
      </c>
      <c r="G138" s="57">
        <f t="shared" si="55"/>
        <v>0</v>
      </c>
      <c r="H138" s="57">
        <f t="shared" si="55"/>
        <v>0</v>
      </c>
      <c r="I138" s="57"/>
      <c r="J138" s="57"/>
      <c r="K138" s="57"/>
      <c r="L138" s="57"/>
      <c r="M138" s="57"/>
      <c r="N138" s="57"/>
    </row>
    <row r="139" spans="1:16" hidden="1" x14ac:dyDescent="0.25">
      <c r="A139" s="74" t="s">
        <v>497</v>
      </c>
      <c r="B139" s="75" t="s">
        <v>354</v>
      </c>
      <c r="C139" s="73" t="s">
        <v>287</v>
      </c>
      <c r="D139" s="73" t="s">
        <v>297</v>
      </c>
      <c r="E139" s="73" t="s">
        <v>290</v>
      </c>
      <c r="F139" s="57">
        <f t="shared" si="55"/>
        <v>0</v>
      </c>
      <c r="G139" s="57">
        <f t="shared" si="55"/>
        <v>0</v>
      </c>
      <c r="H139" s="57">
        <f t="shared" si="55"/>
        <v>0</v>
      </c>
      <c r="I139" s="57"/>
      <c r="J139" s="57"/>
      <c r="K139" s="57"/>
      <c r="L139" s="57"/>
      <c r="M139" s="57"/>
      <c r="N139" s="57"/>
    </row>
    <row r="140" spans="1:16" hidden="1" x14ac:dyDescent="0.25">
      <c r="A140" s="74" t="s">
        <v>355</v>
      </c>
      <c r="B140" s="75" t="s">
        <v>354</v>
      </c>
      <c r="C140" s="73" t="s">
        <v>287</v>
      </c>
      <c r="D140" s="73" t="s">
        <v>297</v>
      </c>
      <c r="E140" s="73" t="s">
        <v>290</v>
      </c>
      <c r="F140" s="57">
        <f t="shared" si="55"/>
        <v>0</v>
      </c>
      <c r="G140" s="57">
        <f t="shared" si="55"/>
        <v>0</v>
      </c>
      <c r="H140" s="57">
        <f t="shared" si="55"/>
        <v>0</v>
      </c>
      <c r="I140" s="57"/>
      <c r="J140" s="57"/>
      <c r="K140" s="57"/>
      <c r="L140" s="57"/>
      <c r="M140" s="57"/>
      <c r="N140" s="57"/>
    </row>
    <row r="141" spans="1:16" hidden="1" x14ac:dyDescent="0.25">
      <c r="A141" s="74" t="s">
        <v>356</v>
      </c>
      <c r="B141" s="75" t="s">
        <v>354</v>
      </c>
      <c r="C141" s="73" t="s">
        <v>287</v>
      </c>
      <c r="D141" s="73" t="s">
        <v>297</v>
      </c>
      <c r="E141" s="73" t="s">
        <v>310</v>
      </c>
      <c r="F141" s="57">
        <f t="shared" si="55"/>
        <v>0</v>
      </c>
      <c r="G141" s="57">
        <f t="shared" si="55"/>
        <v>0</v>
      </c>
      <c r="H141" s="57">
        <f t="shared" si="55"/>
        <v>0</v>
      </c>
      <c r="I141" s="57"/>
      <c r="J141" s="57"/>
      <c r="K141" s="57"/>
      <c r="L141" s="57"/>
      <c r="M141" s="57"/>
      <c r="N141" s="57"/>
    </row>
    <row r="142" spans="1:16" ht="30" hidden="1" x14ac:dyDescent="0.25">
      <c r="A142" s="291" t="s">
        <v>721</v>
      </c>
      <c r="B142" s="75" t="s">
        <v>354</v>
      </c>
      <c r="C142" s="73" t="s">
        <v>287</v>
      </c>
      <c r="D142" s="73" t="s">
        <v>297</v>
      </c>
      <c r="E142" s="73" t="s">
        <v>341</v>
      </c>
      <c r="F142" s="57">
        <f t="shared" si="55"/>
        <v>0</v>
      </c>
      <c r="G142" s="57">
        <f t="shared" si="55"/>
        <v>0</v>
      </c>
      <c r="H142" s="57">
        <f t="shared" si="55"/>
        <v>0</v>
      </c>
      <c r="I142" s="57"/>
      <c r="J142" s="57"/>
      <c r="K142" s="57"/>
      <c r="L142" s="57"/>
      <c r="M142" s="57"/>
      <c r="N142" s="57"/>
    </row>
    <row r="143" spans="1:16" s="40" customFormat="1" x14ac:dyDescent="0.25">
      <c r="A143" s="76"/>
      <c r="B143" s="71"/>
      <c r="C143" s="72"/>
      <c r="D143" s="72"/>
      <c r="E143" s="72"/>
      <c r="F143" s="64">
        <f>SUM(F144:F146)</f>
        <v>0</v>
      </c>
      <c r="G143" s="64">
        <f t="shared" ref="G143:H143" si="56">SUM(G144:G146)</f>
        <v>0</v>
      </c>
      <c r="H143" s="64">
        <f t="shared" si="56"/>
        <v>0</v>
      </c>
      <c r="I143" s="64">
        <f>SUM(I144:I146)</f>
        <v>0</v>
      </c>
      <c r="J143" s="64">
        <f t="shared" ref="J143:K143" si="57">SUM(J144:J146)</f>
        <v>0</v>
      </c>
      <c r="K143" s="64">
        <f t="shared" si="57"/>
        <v>0</v>
      </c>
      <c r="L143" s="64">
        <f>SUM(L144:L146)</f>
        <v>0</v>
      </c>
      <c r="M143" s="64">
        <f t="shared" ref="M143:N143" si="58">SUM(M144:M146)</f>
        <v>0</v>
      </c>
      <c r="N143" s="64">
        <f t="shared" si="58"/>
        <v>0</v>
      </c>
      <c r="O143" s="45"/>
      <c r="P143" s="45"/>
    </row>
    <row r="144" spans="1:16" s="43" customFormat="1" x14ac:dyDescent="0.25">
      <c r="A144" s="75" t="s">
        <v>727</v>
      </c>
      <c r="B144" s="75"/>
      <c r="C144" s="73"/>
      <c r="D144" s="73" t="s">
        <v>297</v>
      </c>
      <c r="E144" s="73" t="s">
        <v>310</v>
      </c>
      <c r="F144" s="57">
        <f t="shared" ref="F144:H144" si="59">I144+L144</f>
        <v>0</v>
      </c>
      <c r="G144" s="57">
        <f t="shared" si="59"/>
        <v>0</v>
      </c>
      <c r="H144" s="57">
        <f t="shared" si="59"/>
        <v>0</v>
      </c>
      <c r="I144" s="57"/>
      <c r="J144" s="57"/>
      <c r="K144" s="57"/>
      <c r="L144" s="57"/>
      <c r="M144" s="57"/>
      <c r="N144" s="57"/>
    </row>
    <row r="145" spans="1:16" x14ac:dyDescent="0.25">
      <c r="A145" s="74"/>
      <c r="B145" s="75"/>
      <c r="C145" s="73"/>
      <c r="D145" s="73"/>
      <c r="E145" s="73"/>
      <c r="F145" s="57">
        <f t="shared" ref="F145:H146" si="60">I145+L145</f>
        <v>0</v>
      </c>
      <c r="G145" s="57">
        <f t="shared" si="60"/>
        <v>0</v>
      </c>
      <c r="H145" s="57">
        <f t="shared" si="60"/>
        <v>0</v>
      </c>
      <c r="I145" s="57"/>
      <c r="J145" s="57"/>
      <c r="K145" s="57"/>
      <c r="L145" s="57"/>
      <c r="M145" s="57"/>
      <c r="N145" s="57"/>
    </row>
    <row r="146" spans="1:16" x14ac:dyDescent="0.25">
      <c r="A146" s="74"/>
      <c r="B146" s="75"/>
      <c r="C146" s="73"/>
      <c r="D146" s="73"/>
      <c r="E146" s="73"/>
      <c r="F146" s="57">
        <f t="shared" si="60"/>
        <v>0</v>
      </c>
      <c r="G146" s="57">
        <f t="shared" si="60"/>
        <v>0</v>
      </c>
      <c r="H146" s="57">
        <f t="shared" si="60"/>
        <v>0</v>
      </c>
      <c r="I146" s="57"/>
      <c r="J146" s="57"/>
      <c r="K146" s="57"/>
      <c r="L146" s="57"/>
      <c r="M146" s="57"/>
      <c r="N146" s="57"/>
    </row>
    <row r="147" spans="1:16" s="40" customFormat="1" ht="14.25" x14ac:dyDescent="0.2">
      <c r="A147" s="309" t="s">
        <v>761</v>
      </c>
      <c r="B147" s="71"/>
      <c r="C147" s="72"/>
      <c r="D147" s="72"/>
      <c r="E147" s="72"/>
      <c r="F147" s="64">
        <f t="shared" ref="F147:N147" si="61">SUM(F148:F166)</f>
        <v>0</v>
      </c>
      <c r="G147" s="64">
        <f t="shared" si="61"/>
        <v>0</v>
      </c>
      <c r="H147" s="64">
        <f t="shared" si="61"/>
        <v>0</v>
      </c>
      <c r="I147" s="64">
        <f>I148+I152+I156+I160+I164+I168+I172</f>
        <v>0</v>
      </c>
      <c r="J147" s="64">
        <f t="shared" ref="J147:K147" si="62">J148+J152+J156+J160+J164+J168+J172</f>
        <v>0</v>
      </c>
      <c r="K147" s="64">
        <f t="shared" si="62"/>
        <v>0</v>
      </c>
      <c r="L147" s="64">
        <f t="shared" si="61"/>
        <v>0</v>
      </c>
      <c r="M147" s="64">
        <f t="shared" si="61"/>
        <v>0</v>
      </c>
      <c r="N147" s="64">
        <f t="shared" si="61"/>
        <v>0</v>
      </c>
      <c r="O147" s="54" t="s">
        <v>353</v>
      </c>
      <c r="P147" s="54"/>
    </row>
    <row r="148" spans="1:16" s="40" customFormat="1" ht="14.25" x14ac:dyDescent="0.2">
      <c r="A148" s="71" t="s">
        <v>762</v>
      </c>
      <c r="B148" s="71"/>
      <c r="C148" s="72"/>
      <c r="D148" s="72"/>
      <c r="E148" s="72"/>
      <c r="F148" s="64">
        <f t="shared" ref="F148:H163" si="63">I148+L148</f>
        <v>0</v>
      </c>
      <c r="G148" s="64">
        <f t="shared" si="63"/>
        <v>0</v>
      </c>
      <c r="H148" s="64">
        <f t="shared" si="63"/>
        <v>0</v>
      </c>
      <c r="I148" s="64">
        <f>I149+I150+I151</f>
        <v>0</v>
      </c>
      <c r="J148" s="64">
        <f t="shared" ref="J148:K148" si="64">J149+J150+J151</f>
        <v>0</v>
      </c>
      <c r="K148" s="64">
        <f t="shared" si="64"/>
        <v>0</v>
      </c>
      <c r="L148" s="64"/>
      <c r="M148" s="64"/>
      <c r="N148" s="64"/>
    </row>
    <row r="149" spans="1:16" x14ac:dyDescent="0.25">
      <c r="A149" s="75"/>
      <c r="B149" s="75"/>
      <c r="C149" s="73" t="s">
        <v>287</v>
      </c>
      <c r="D149" s="73" t="s">
        <v>297</v>
      </c>
      <c r="E149" s="73" t="s">
        <v>679</v>
      </c>
      <c r="F149" s="57">
        <f t="shared" si="63"/>
        <v>0</v>
      </c>
      <c r="G149" s="57">
        <f t="shared" si="63"/>
        <v>0</v>
      </c>
      <c r="H149" s="57">
        <f t="shared" si="63"/>
        <v>0</v>
      </c>
      <c r="I149" s="57"/>
      <c r="J149" s="57"/>
      <c r="K149" s="57"/>
      <c r="L149" s="57"/>
      <c r="M149" s="57"/>
      <c r="N149" s="57"/>
    </row>
    <row r="150" spans="1:16" x14ac:dyDescent="0.25">
      <c r="A150" s="75"/>
      <c r="B150" s="75"/>
      <c r="C150" s="73" t="s">
        <v>287</v>
      </c>
      <c r="D150" s="73" t="s">
        <v>297</v>
      </c>
      <c r="E150" s="73" t="s">
        <v>341</v>
      </c>
      <c r="F150" s="57">
        <f t="shared" si="63"/>
        <v>0</v>
      </c>
      <c r="G150" s="57">
        <f t="shared" si="63"/>
        <v>0</v>
      </c>
      <c r="H150" s="57">
        <f t="shared" si="63"/>
        <v>0</v>
      </c>
      <c r="I150" s="57"/>
      <c r="J150" s="57"/>
      <c r="K150" s="57"/>
      <c r="L150" s="57"/>
      <c r="M150" s="57"/>
      <c r="N150" s="57"/>
    </row>
    <row r="151" spans="1:16" x14ac:dyDescent="0.25">
      <c r="A151" s="75"/>
      <c r="B151" s="75"/>
      <c r="C151" s="73" t="s">
        <v>287</v>
      </c>
      <c r="D151" s="73" t="s">
        <v>297</v>
      </c>
      <c r="E151" s="73" t="s">
        <v>343</v>
      </c>
      <c r="F151" s="57">
        <f t="shared" si="63"/>
        <v>0</v>
      </c>
      <c r="G151" s="57">
        <f t="shared" si="63"/>
        <v>0</v>
      </c>
      <c r="H151" s="57">
        <f t="shared" si="63"/>
        <v>0</v>
      </c>
      <c r="I151" s="57"/>
      <c r="J151" s="57"/>
      <c r="K151" s="57"/>
      <c r="L151" s="57"/>
      <c r="M151" s="57"/>
      <c r="N151" s="57"/>
    </row>
    <row r="152" spans="1:16" s="40" customFormat="1" ht="14.25" x14ac:dyDescent="0.2">
      <c r="A152" s="71" t="s">
        <v>763</v>
      </c>
      <c r="B152" s="71"/>
      <c r="C152" s="72"/>
      <c r="D152" s="72"/>
      <c r="E152" s="72"/>
      <c r="F152" s="64">
        <f t="shared" si="63"/>
        <v>0</v>
      </c>
      <c r="G152" s="64">
        <f t="shared" si="63"/>
        <v>0</v>
      </c>
      <c r="H152" s="64">
        <f t="shared" si="63"/>
        <v>0</v>
      </c>
      <c r="I152" s="64">
        <f>I153+I154+I155</f>
        <v>0</v>
      </c>
      <c r="J152" s="64">
        <f t="shared" ref="J152:K152" si="65">J153+J154+J155</f>
        <v>0</v>
      </c>
      <c r="K152" s="64">
        <f t="shared" si="65"/>
        <v>0</v>
      </c>
      <c r="L152" s="64"/>
      <c r="M152" s="64"/>
      <c r="N152" s="64"/>
    </row>
    <row r="153" spans="1:16" x14ac:dyDescent="0.25">
      <c r="A153" s="75"/>
      <c r="B153" s="75"/>
      <c r="C153" s="73" t="s">
        <v>287</v>
      </c>
      <c r="D153" s="73" t="s">
        <v>297</v>
      </c>
      <c r="E153" s="73" t="s">
        <v>679</v>
      </c>
      <c r="F153" s="57">
        <f t="shared" si="63"/>
        <v>0</v>
      </c>
      <c r="G153" s="57">
        <f t="shared" si="63"/>
        <v>0</v>
      </c>
      <c r="H153" s="57">
        <f t="shared" si="63"/>
        <v>0</v>
      </c>
      <c r="I153" s="57"/>
      <c r="J153" s="57"/>
      <c r="K153" s="57"/>
      <c r="L153" s="57"/>
      <c r="M153" s="57"/>
      <c r="N153" s="57"/>
    </row>
    <row r="154" spans="1:16" x14ac:dyDescent="0.25">
      <c r="A154" s="75"/>
      <c r="B154" s="75"/>
      <c r="C154" s="73" t="s">
        <v>287</v>
      </c>
      <c r="D154" s="73" t="s">
        <v>297</v>
      </c>
      <c r="E154" s="73" t="s">
        <v>341</v>
      </c>
      <c r="F154" s="57">
        <f t="shared" si="63"/>
        <v>0</v>
      </c>
      <c r="G154" s="57">
        <f t="shared" si="63"/>
        <v>0</v>
      </c>
      <c r="H154" s="57">
        <f t="shared" si="63"/>
        <v>0</v>
      </c>
      <c r="I154" s="57"/>
      <c r="J154" s="57"/>
      <c r="K154" s="57"/>
      <c r="L154" s="57"/>
      <c r="M154" s="57"/>
      <c r="N154" s="57"/>
    </row>
    <row r="155" spans="1:16" x14ac:dyDescent="0.25">
      <c r="A155" s="75"/>
      <c r="B155" s="75"/>
      <c r="C155" s="73" t="s">
        <v>287</v>
      </c>
      <c r="D155" s="73" t="s">
        <v>297</v>
      </c>
      <c r="E155" s="73" t="s">
        <v>343</v>
      </c>
      <c r="F155" s="57">
        <f t="shared" si="63"/>
        <v>0</v>
      </c>
      <c r="G155" s="57">
        <f t="shared" si="63"/>
        <v>0</v>
      </c>
      <c r="H155" s="57">
        <f t="shared" si="63"/>
        <v>0</v>
      </c>
      <c r="I155" s="57"/>
      <c r="J155" s="57"/>
      <c r="K155" s="57"/>
      <c r="L155" s="57"/>
      <c r="M155" s="57"/>
      <c r="N155" s="57"/>
    </row>
    <row r="156" spans="1:16" s="40" customFormat="1" ht="14.25" x14ac:dyDescent="0.2">
      <c r="A156" s="71" t="s">
        <v>764</v>
      </c>
      <c r="B156" s="71"/>
      <c r="C156" s="72"/>
      <c r="D156" s="72"/>
      <c r="E156" s="72"/>
      <c r="F156" s="64">
        <f t="shared" si="63"/>
        <v>0</v>
      </c>
      <c r="G156" s="64">
        <f t="shared" si="63"/>
        <v>0</v>
      </c>
      <c r="H156" s="64">
        <f t="shared" si="63"/>
        <v>0</v>
      </c>
      <c r="I156" s="64">
        <f>I157+I158+I159</f>
        <v>0</v>
      </c>
      <c r="J156" s="64">
        <f t="shared" ref="J156:K156" si="66">J157+J158+J159</f>
        <v>0</v>
      </c>
      <c r="K156" s="64">
        <f t="shared" si="66"/>
        <v>0</v>
      </c>
      <c r="L156" s="64"/>
      <c r="M156" s="64"/>
      <c r="N156" s="64"/>
    </row>
    <row r="157" spans="1:16" x14ac:dyDescent="0.25">
      <c r="A157" s="75"/>
      <c r="B157" s="75"/>
      <c r="C157" s="73" t="s">
        <v>287</v>
      </c>
      <c r="D157" s="73" t="s">
        <v>297</v>
      </c>
      <c r="E157" s="73" t="s">
        <v>679</v>
      </c>
      <c r="F157" s="57">
        <f t="shared" si="63"/>
        <v>0</v>
      </c>
      <c r="G157" s="57">
        <f t="shared" si="63"/>
        <v>0</v>
      </c>
      <c r="H157" s="57">
        <f t="shared" si="63"/>
        <v>0</v>
      </c>
      <c r="I157" s="57"/>
      <c r="J157" s="57"/>
      <c r="K157" s="57"/>
      <c r="L157" s="57"/>
      <c r="M157" s="57"/>
      <c r="N157" s="57"/>
    </row>
    <row r="158" spans="1:16" x14ac:dyDescent="0.25">
      <c r="A158" s="75"/>
      <c r="B158" s="75"/>
      <c r="C158" s="73" t="s">
        <v>287</v>
      </c>
      <c r="D158" s="73" t="s">
        <v>297</v>
      </c>
      <c r="E158" s="73" t="s">
        <v>341</v>
      </c>
      <c r="F158" s="57">
        <f t="shared" si="63"/>
        <v>0</v>
      </c>
      <c r="G158" s="57">
        <f t="shared" si="63"/>
        <v>0</v>
      </c>
      <c r="H158" s="57">
        <f t="shared" si="63"/>
        <v>0</v>
      </c>
      <c r="I158" s="57"/>
      <c r="J158" s="57"/>
      <c r="K158" s="57"/>
      <c r="L158" s="57"/>
      <c r="M158" s="57"/>
      <c r="N158" s="57"/>
    </row>
    <row r="159" spans="1:16" x14ac:dyDescent="0.25">
      <c r="A159" s="75"/>
      <c r="B159" s="75"/>
      <c r="C159" s="73" t="s">
        <v>287</v>
      </c>
      <c r="D159" s="73" t="s">
        <v>297</v>
      </c>
      <c r="E159" s="73" t="s">
        <v>343</v>
      </c>
      <c r="F159" s="57">
        <f t="shared" si="63"/>
        <v>0</v>
      </c>
      <c r="G159" s="57">
        <f t="shared" si="63"/>
        <v>0</v>
      </c>
      <c r="H159" s="57">
        <f t="shared" si="63"/>
        <v>0</v>
      </c>
      <c r="I159" s="57"/>
      <c r="J159" s="57"/>
      <c r="K159" s="57"/>
      <c r="L159" s="57"/>
      <c r="M159" s="57"/>
      <c r="N159" s="57"/>
    </row>
    <row r="160" spans="1:16" s="40" customFormat="1" ht="14.25" x14ac:dyDescent="0.2">
      <c r="A160" s="71" t="s">
        <v>765</v>
      </c>
      <c r="B160" s="71"/>
      <c r="C160" s="72"/>
      <c r="D160" s="72"/>
      <c r="E160" s="72"/>
      <c r="F160" s="64">
        <f t="shared" si="63"/>
        <v>0</v>
      </c>
      <c r="G160" s="64">
        <f t="shared" si="63"/>
        <v>0</v>
      </c>
      <c r="H160" s="64">
        <f t="shared" si="63"/>
        <v>0</v>
      </c>
      <c r="I160" s="64">
        <f>I161+I162+I163</f>
        <v>0</v>
      </c>
      <c r="J160" s="64">
        <f t="shared" ref="J160:K160" si="67">J161+J162+J163</f>
        <v>0</v>
      </c>
      <c r="K160" s="64">
        <f t="shared" si="67"/>
        <v>0</v>
      </c>
      <c r="L160" s="64"/>
      <c r="M160" s="64"/>
      <c r="N160" s="64"/>
    </row>
    <row r="161" spans="1:16" x14ac:dyDescent="0.25">
      <c r="A161" s="75"/>
      <c r="B161" s="75"/>
      <c r="C161" s="73" t="s">
        <v>287</v>
      </c>
      <c r="D161" s="73" t="s">
        <v>297</v>
      </c>
      <c r="E161" s="73" t="s">
        <v>679</v>
      </c>
      <c r="F161" s="57">
        <f t="shared" si="63"/>
        <v>0</v>
      </c>
      <c r="G161" s="57">
        <f t="shared" si="63"/>
        <v>0</v>
      </c>
      <c r="H161" s="57">
        <f t="shared" si="63"/>
        <v>0</v>
      </c>
      <c r="I161" s="57"/>
      <c r="J161" s="57"/>
      <c r="K161" s="57"/>
      <c r="L161" s="57"/>
      <c r="M161" s="57"/>
      <c r="N161" s="57"/>
    </row>
    <row r="162" spans="1:16" x14ac:dyDescent="0.25">
      <c r="A162" s="75"/>
      <c r="B162" s="75"/>
      <c r="C162" s="73" t="s">
        <v>287</v>
      </c>
      <c r="D162" s="73" t="s">
        <v>297</v>
      </c>
      <c r="E162" s="73" t="s">
        <v>341</v>
      </c>
      <c r="F162" s="57">
        <f t="shared" si="63"/>
        <v>0</v>
      </c>
      <c r="G162" s="57">
        <f t="shared" si="63"/>
        <v>0</v>
      </c>
      <c r="H162" s="57">
        <f t="shared" si="63"/>
        <v>0</v>
      </c>
      <c r="I162" s="57"/>
      <c r="J162" s="57"/>
      <c r="K162" s="57"/>
      <c r="L162" s="57"/>
      <c r="M162" s="57"/>
      <c r="N162" s="57"/>
    </row>
    <row r="163" spans="1:16" x14ac:dyDescent="0.25">
      <c r="A163" s="75"/>
      <c r="B163" s="75"/>
      <c r="C163" s="73" t="s">
        <v>287</v>
      </c>
      <c r="D163" s="73" t="s">
        <v>297</v>
      </c>
      <c r="E163" s="73" t="s">
        <v>343</v>
      </c>
      <c r="F163" s="57">
        <f t="shared" si="63"/>
        <v>0</v>
      </c>
      <c r="G163" s="57">
        <f t="shared" si="63"/>
        <v>0</v>
      </c>
      <c r="H163" s="57">
        <f t="shared" si="63"/>
        <v>0</v>
      </c>
      <c r="I163" s="57"/>
      <c r="J163" s="57"/>
      <c r="K163" s="57"/>
      <c r="L163" s="57"/>
      <c r="M163" s="57"/>
      <c r="N163" s="57"/>
    </row>
    <row r="164" spans="1:16" s="40" customFormat="1" ht="14.25" x14ac:dyDescent="0.2">
      <c r="A164" s="71" t="s">
        <v>766</v>
      </c>
      <c r="B164" s="71"/>
      <c r="C164" s="72"/>
      <c r="D164" s="72"/>
      <c r="E164" s="72"/>
      <c r="F164" s="64">
        <f t="shared" ref="F164:H175" si="68">I164+L164</f>
        <v>0</v>
      </c>
      <c r="G164" s="64">
        <f t="shared" si="68"/>
        <v>0</v>
      </c>
      <c r="H164" s="64">
        <f t="shared" si="68"/>
        <v>0</v>
      </c>
      <c r="I164" s="64">
        <f>I165+I166+I167</f>
        <v>0</v>
      </c>
      <c r="J164" s="64">
        <f t="shared" ref="J164:K164" si="69">J165+J166+J167</f>
        <v>0</v>
      </c>
      <c r="K164" s="64">
        <f t="shared" si="69"/>
        <v>0</v>
      </c>
      <c r="L164" s="64"/>
      <c r="M164" s="64"/>
      <c r="N164" s="64"/>
    </row>
    <row r="165" spans="1:16" x14ac:dyDescent="0.25">
      <c r="A165" s="75"/>
      <c r="B165" s="75"/>
      <c r="C165" s="73" t="s">
        <v>287</v>
      </c>
      <c r="D165" s="73" t="s">
        <v>297</v>
      </c>
      <c r="E165" s="73" t="s">
        <v>679</v>
      </c>
      <c r="F165" s="57">
        <f t="shared" si="68"/>
        <v>0</v>
      </c>
      <c r="G165" s="57">
        <f t="shared" si="68"/>
        <v>0</v>
      </c>
      <c r="H165" s="57">
        <f t="shared" si="68"/>
        <v>0</v>
      </c>
      <c r="I165" s="57"/>
      <c r="J165" s="57"/>
      <c r="K165" s="57"/>
      <c r="L165" s="57"/>
      <c r="M165" s="57"/>
      <c r="N165" s="57"/>
    </row>
    <row r="166" spans="1:16" x14ac:dyDescent="0.25">
      <c r="A166" s="75"/>
      <c r="B166" s="75"/>
      <c r="C166" s="73" t="s">
        <v>287</v>
      </c>
      <c r="D166" s="73" t="s">
        <v>297</v>
      </c>
      <c r="E166" s="73" t="s">
        <v>341</v>
      </c>
      <c r="F166" s="57">
        <f t="shared" si="68"/>
        <v>0</v>
      </c>
      <c r="G166" s="57">
        <f t="shared" si="68"/>
        <v>0</v>
      </c>
      <c r="H166" s="57">
        <f t="shared" si="68"/>
        <v>0</v>
      </c>
      <c r="I166" s="57"/>
      <c r="J166" s="57"/>
      <c r="K166" s="57"/>
      <c r="L166" s="57"/>
      <c r="M166" s="57"/>
      <c r="N166" s="57"/>
    </row>
    <row r="167" spans="1:16" s="40" customFormat="1" x14ac:dyDescent="0.25">
      <c r="A167" s="75"/>
      <c r="B167" s="75"/>
      <c r="C167" s="73" t="s">
        <v>287</v>
      </c>
      <c r="D167" s="73" t="s">
        <v>297</v>
      </c>
      <c r="E167" s="73" t="s">
        <v>343</v>
      </c>
      <c r="F167" s="57">
        <f t="shared" si="68"/>
        <v>0</v>
      </c>
      <c r="G167" s="57">
        <f t="shared" si="68"/>
        <v>0</v>
      </c>
      <c r="H167" s="57">
        <f t="shared" si="68"/>
        <v>0</v>
      </c>
      <c r="I167" s="57"/>
      <c r="J167" s="57"/>
      <c r="K167" s="57"/>
      <c r="L167" s="64">
        <f>SUM(L168:L170)</f>
        <v>0</v>
      </c>
      <c r="M167" s="64">
        <f t="shared" ref="M167:N167" si="70">SUM(M168:M170)</f>
        <v>0</v>
      </c>
      <c r="N167" s="64">
        <f t="shared" si="70"/>
        <v>0</v>
      </c>
      <c r="O167" s="45"/>
      <c r="P167" s="45"/>
    </row>
    <row r="168" spans="1:16" s="40" customFormat="1" ht="14.25" x14ac:dyDescent="0.2">
      <c r="A168" s="71" t="s">
        <v>767</v>
      </c>
      <c r="B168" s="71"/>
      <c r="C168" s="72"/>
      <c r="D168" s="72"/>
      <c r="E168" s="72"/>
      <c r="F168" s="64">
        <f t="shared" si="68"/>
        <v>0</v>
      </c>
      <c r="G168" s="64">
        <f t="shared" si="68"/>
        <v>0</v>
      </c>
      <c r="H168" s="64">
        <f t="shared" si="68"/>
        <v>0</v>
      </c>
      <c r="I168" s="64">
        <f>I169+I170+I171</f>
        <v>0</v>
      </c>
      <c r="J168" s="64">
        <f t="shared" ref="J168:K168" si="71">J169+J170+J171</f>
        <v>0</v>
      </c>
      <c r="K168" s="64">
        <f t="shared" si="71"/>
        <v>0</v>
      </c>
      <c r="L168" s="64"/>
      <c r="M168" s="64"/>
      <c r="N168" s="64"/>
    </row>
    <row r="169" spans="1:16" x14ac:dyDescent="0.25">
      <c r="A169" s="75"/>
      <c r="B169" s="75"/>
      <c r="C169" s="73" t="s">
        <v>287</v>
      </c>
      <c r="D169" s="73" t="s">
        <v>297</v>
      </c>
      <c r="E169" s="73" t="s">
        <v>679</v>
      </c>
      <c r="F169" s="57">
        <f t="shared" si="68"/>
        <v>0</v>
      </c>
      <c r="G169" s="57">
        <f t="shared" si="68"/>
        <v>0</v>
      </c>
      <c r="H169" s="57">
        <f t="shared" si="68"/>
        <v>0</v>
      </c>
      <c r="I169" s="57"/>
      <c r="J169" s="57"/>
      <c r="K169" s="57"/>
      <c r="L169" s="57"/>
      <c r="M169" s="57"/>
      <c r="N169" s="57"/>
    </row>
    <row r="170" spans="1:16" x14ac:dyDescent="0.25">
      <c r="A170" s="75"/>
      <c r="B170" s="75"/>
      <c r="C170" s="73" t="s">
        <v>287</v>
      </c>
      <c r="D170" s="73" t="s">
        <v>297</v>
      </c>
      <c r="E170" s="73" t="s">
        <v>341</v>
      </c>
      <c r="F170" s="57">
        <f t="shared" si="68"/>
        <v>0</v>
      </c>
      <c r="G170" s="57">
        <f t="shared" si="68"/>
        <v>0</v>
      </c>
      <c r="H170" s="57">
        <f t="shared" si="68"/>
        <v>0</v>
      </c>
      <c r="I170" s="57"/>
      <c r="J170" s="57"/>
      <c r="K170" s="57"/>
      <c r="L170" s="57"/>
      <c r="M170" s="57"/>
      <c r="N170" s="57"/>
    </row>
    <row r="171" spans="1:16" s="40" customFormat="1" x14ac:dyDescent="0.25">
      <c r="A171" s="75"/>
      <c r="B171" s="75"/>
      <c r="C171" s="73" t="s">
        <v>287</v>
      </c>
      <c r="D171" s="73" t="s">
        <v>297</v>
      </c>
      <c r="E171" s="73" t="s">
        <v>343</v>
      </c>
      <c r="F171" s="57">
        <f t="shared" si="68"/>
        <v>0</v>
      </c>
      <c r="G171" s="57">
        <f t="shared" si="68"/>
        <v>0</v>
      </c>
      <c r="H171" s="57">
        <f t="shared" si="68"/>
        <v>0</v>
      </c>
      <c r="I171" s="57"/>
      <c r="J171" s="57"/>
      <c r="K171" s="57"/>
      <c r="L171" s="64">
        <f>SUM(L172:L174)</f>
        <v>0</v>
      </c>
      <c r="M171" s="64">
        <f t="shared" ref="M171:N171" si="72">SUM(M172:M174)</f>
        <v>0</v>
      </c>
      <c r="N171" s="64">
        <f t="shared" si="72"/>
        <v>0</v>
      </c>
      <c r="O171" s="45"/>
      <c r="P171" s="45"/>
    </row>
    <row r="172" spans="1:16" s="40" customFormat="1" ht="14.25" x14ac:dyDescent="0.2">
      <c r="A172" s="71" t="s">
        <v>768</v>
      </c>
      <c r="B172" s="71"/>
      <c r="C172" s="72"/>
      <c r="D172" s="72"/>
      <c r="E172" s="72"/>
      <c r="F172" s="64">
        <f t="shared" si="68"/>
        <v>0</v>
      </c>
      <c r="G172" s="64">
        <f t="shared" si="68"/>
        <v>0</v>
      </c>
      <c r="H172" s="64">
        <f t="shared" si="68"/>
        <v>0</v>
      </c>
      <c r="I172" s="64">
        <f>I173+I174+I175</f>
        <v>0</v>
      </c>
      <c r="J172" s="64">
        <f t="shared" ref="J172:K172" si="73">J173+J174+J175</f>
        <v>0</v>
      </c>
      <c r="K172" s="64">
        <f t="shared" si="73"/>
        <v>0</v>
      </c>
      <c r="L172" s="64"/>
      <c r="M172" s="64"/>
      <c r="N172" s="64"/>
    </row>
    <row r="173" spans="1:16" x14ac:dyDescent="0.25">
      <c r="A173" s="75"/>
      <c r="B173" s="75"/>
      <c r="C173" s="73" t="s">
        <v>287</v>
      </c>
      <c r="D173" s="73" t="s">
        <v>297</v>
      </c>
      <c r="E173" s="73" t="s">
        <v>282</v>
      </c>
      <c r="F173" s="57">
        <f t="shared" si="68"/>
        <v>0</v>
      </c>
      <c r="G173" s="57">
        <f t="shared" si="68"/>
        <v>0</v>
      </c>
      <c r="H173" s="57">
        <f t="shared" si="68"/>
        <v>0</v>
      </c>
      <c r="I173" s="57"/>
      <c r="J173" s="57"/>
      <c r="K173" s="57"/>
      <c r="L173" s="57"/>
      <c r="M173" s="57"/>
      <c r="N173" s="57"/>
    </row>
    <row r="174" spans="1:16" x14ac:dyDescent="0.25">
      <c r="A174" s="75"/>
      <c r="B174" s="75"/>
      <c r="C174" s="73" t="s">
        <v>287</v>
      </c>
      <c r="D174" s="73" t="s">
        <v>297</v>
      </c>
      <c r="E174" s="73" t="s">
        <v>295</v>
      </c>
      <c r="F174" s="57">
        <f t="shared" si="68"/>
        <v>0</v>
      </c>
      <c r="G174" s="57">
        <f t="shared" si="68"/>
        <v>0</v>
      </c>
      <c r="H174" s="57">
        <f t="shared" si="68"/>
        <v>0</v>
      </c>
      <c r="I174" s="57"/>
      <c r="J174" s="57"/>
      <c r="K174" s="57"/>
      <c r="L174" s="57"/>
      <c r="M174" s="57"/>
      <c r="N174" s="57"/>
    </row>
    <row r="175" spans="1:16" s="47" customFormat="1" x14ac:dyDescent="0.25">
      <c r="A175" s="75"/>
      <c r="B175" s="75"/>
      <c r="C175" s="73" t="s">
        <v>287</v>
      </c>
      <c r="D175" s="73" t="s">
        <v>297</v>
      </c>
      <c r="E175" s="73" t="s">
        <v>290</v>
      </c>
      <c r="F175" s="57">
        <f t="shared" si="68"/>
        <v>0</v>
      </c>
      <c r="G175" s="57">
        <f t="shared" si="68"/>
        <v>0</v>
      </c>
      <c r="H175" s="57">
        <f t="shared" si="68"/>
        <v>0</v>
      </c>
      <c r="I175" s="57"/>
      <c r="J175" s="57"/>
      <c r="K175" s="57"/>
      <c r="L175" s="48">
        <f t="shared" ref="L175:N175" si="74">SUM(L176,L180,L184,L188)</f>
        <v>0</v>
      </c>
      <c r="M175" s="48">
        <f t="shared" si="74"/>
        <v>0</v>
      </c>
      <c r="N175" s="48">
        <f t="shared" si="74"/>
        <v>0</v>
      </c>
      <c r="O175" s="45"/>
      <c r="P175" s="45"/>
    </row>
    <row r="176" spans="1:16" s="40" customFormat="1" ht="14.25" x14ac:dyDescent="0.2">
      <c r="A176" s="309" t="s">
        <v>800</v>
      </c>
      <c r="B176" s="71"/>
      <c r="C176" s="72"/>
      <c r="D176" s="72"/>
      <c r="E176" s="72"/>
      <c r="F176" s="64">
        <f t="shared" ref="F176:H176" si="75">SUM(F177:F195)</f>
        <v>1172723.8799999999</v>
      </c>
      <c r="G176" s="64">
        <f t="shared" si="75"/>
        <v>931623.55999999994</v>
      </c>
      <c r="H176" s="64">
        <f t="shared" si="75"/>
        <v>931623.55999999994</v>
      </c>
      <c r="I176" s="64">
        <f>I177</f>
        <v>0</v>
      </c>
      <c r="J176" s="64">
        <f t="shared" ref="J176:K176" si="76">J177</f>
        <v>0</v>
      </c>
      <c r="K176" s="64">
        <f t="shared" si="76"/>
        <v>0</v>
      </c>
      <c r="L176" s="64">
        <f t="shared" ref="L176:N176" si="77">SUM(L177:L195)</f>
        <v>0</v>
      </c>
      <c r="M176" s="64">
        <f t="shared" si="77"/>
        <v>0</v>
      </c>
      <c r="N176" s="64">
        <f t="shared" si="77"/>
        <v>0</v>
      </c>
      <c r="O176" s="54" t="s">
        <v>353</v>
      </c>
      <c r="P176" s="54"/>
    </row>
    <row r="177" spans="1:16" s="40" customFormat="1" ht="14.25" x14ac:dyDescent="0.2">
      <c r="A177" s="71" t="s">
        <v>801</v>
      </c>
      <c r="B177" s="71"/>
      <c r="C177" s="72"/>
      <c r="D177" s="72"/>
      <c r="E177" s="72"/>
      <c r="F177" s="64">
        <f t="shared" ref="F177:H180" si="78">I177+L177</f>
        <v>0</v>
      </c>
      <c r="G177" s="64">
        <f t="shared" si="78"/>
        <v>0</v>
      </c>
      <c r="H177" s="64">
        <f t="shared" si="78"/>
        <v>0</v>
      </c>
      <c r="I177" s="64">
        <f>I178+I179+I180</f>
        <v>0</v>
      </c>
      <c r="J177" s="64">
        <f t="shared" ref="J177:K177" si="79">J178+J179+J180</f>
        <v>0</v>
      </c>
      <c r="K177" s="64">
        <f t="shared" si="79"/>
        <v>0</v>
      </c>
      <c r="L177" s="64"/>
      <c r="M177" s="64"/>
      <c r="N177" s="64"/>
    </row>
    <row r="178" spans="1:16" x14ac:dyDescent="0.25">
      <c r="A178" s="75"/>
      <c r="B178" s="75"/>
      <c r="C178" s="73" t="s">
        <v>287</v>
      </c>
      <c r="D178" s="73" t="s">
        <v>297</v>
      </c>
      <c r="E178" s="73" t="s">
        <v>679</v>
      </c>
      <c r="F178" s="57">
        <f t="shared" si="78"/>
        <v>0</v>
      </c>
      <c r="G178" s="57">
        <f t="shared" si="78"/>
        <v>0</v>
      </c>
      <c r="H178" s="57">
        <f t="shared" si="78"/>
        <v>0</v>
      </c>
      <c r="I178" s="57"/>
      <c r="J178" s="57"/>
      <c r="K178" s="57"/>
      <c r="L178" s="57"/>
      <c r="M178" s="57"/>
      <c r="N178" s="57"/>
    </row>
    <row r="179" spans="1:16" x14ac:dyDescent="0.25">
      <c r="A179" s="75"/>
      <c r="B179" s="75"/>
      <c r="C179" s="73" t="s">
        <v>287</v>
      </c>
      <c r="D179" s="73" t="s">
        <v>297</v>
      </c>
      <c r="E179" s="73" t="s">
        <v>341</v>
      </c>
      <c r="F179" s="57">
        <f t="shared" si="78"/>
        <v>0</v>
      </c>
      <c r="G179" s="57">
        <f t="shared" si="78"/>
        <v>0</v>
      </c>
      <c r="H179" s="57">
        <f t="shared" si="78"/>
        <v>0</v>
      </c>
      <c r="I179" s="57"/>
      <c r="J179" s="57"/>
      <c r="K179" s="57"/>
      <c r="L179" s="57"/>
      <c r="M179" s="57"/>
      <c r="N179" s="57"/>
    </row>
    <row r="180" spans="1:16" x14ac:dyDescent="0.25">
      <c r="A180" s="75"/>
      <c r="B180" s="75"/>
      <c r="C180" s="73" t="s">
        <v>287</v>
      </c>
      <c r="D180" s="73" t="s">
        <v>297</v>
      </c>
      <c r="E180" s="73" t="s">
        <v>343</v>
      </c>
      <c r="F180" s="57">
        <f t="shared" si="78"/>
        <v>0</v>
      </c>
      <c r="G180" s="57">
        <f t="shared" si="78"/>
        <v>0</v>
      </c>
      <c r="H180" s="57">
        <f t="shared" si="78"/>
        <v>0</v>
      </c>
      <c r="I180" s="57"/>
      <c r="J180" s="57"/>
      <c r="K180" s="57"/>
      <c r="L180" s="57"/>
      <c r="M180" s="57"/>
      <c r="N180" s="57"/>
    </row>
    <row r="181" spans="1:16" s="40" customFormat="1" ht="14.25" x14ac:dyDescent="0.2">
      <c r="A181" s="309" t="s">
        <v>802</v>
      </c>
      <c r="B181" s="71"/>
      <c r="C181" s="72"/>
      <c r="D181" s="72"/>
      <c r="E181" s="72"/>
      <c r="F181" s="64">
        <f t="shared" ref="F181:H181" si="80">SUM(F182:F200)</f>
        <v>628103.94000000006</v>
      </c>
      <c r="G181" s="64">
        <f t="shared" si="80"/>
        <v>507553.77999999997</v>
      </c>
      <c r="H181" s="64">
        <f t="shared" si="80"/>
        <v>507553.77999999997</v>
      </c>
      <c r="I181" s="64">
        <f>I182</f>
        <v>26230.32</v>
      </c>
      <c r="J181" s="64">
        <f t="shared" ref="J181:K181" si="81">J182</f>
        <v>0</v>
      </c>
      <c r="K181" s="64">
        <f t="shared" si="81"/>
        <v>0</v>
      </c>
      <c r="L181" s="64">
        <f t="shared" ref="L181:N181" si="82">SUM(L182:L200)</f>
        <v>0</v>
      </c>
      <c r="M181" s="64">
        <f t="shared" si="82"/>
        <v>0</v>
      </c>
      <c r="N181" s="64">
        <f t="shared" si="82"/>
        <v>0</v>
      </c>
      <c r="O181" s="54" t="s">
        <v>353</v>
      </c>
      <c r="P181" s="54"/>
    </row>
    <row r="182" spans="1:16" s="40" customFormat="1" ht="14.25" x14ac:dyDescent="0.2">
      <c r="A182" s="71" t="s">
        <v>803</v>
      </c>
      <c r="B182" s="71"/>
      <c r="C182" s="72"/>
      <c r="D182" s="72"/>
      <c r="E182" s="72"/>
      <c r="F182" s="64">
        <f t="shared" ref="F182:H185" si="83">I182+L182</f>
        <v>26230.32</v>
      </c>
      <c r="G182" s="64">
        <f t="shared" si="83"/>
        <v>0</v>
      </c>
      <c r="H182" s="64">
        <f t="shared" si="83"/>
        <v>0</v>
      </c>
      <c r="I182" s="64">
        <f>I183+I184+I185</f>
        <v>26230.32</v>
      </c>
      <c r="J182" s="64">
        <f t="shared" ref="J182:K182" si="84">J183+J184+J185</f>
        <v>0</v>
      </c>
      <c r="K182" s="64">
        <f t="shared" si="84"/>
        <v>0</v>
      </c>
      <c r="L182" s="64"/>
      <c r="M182" s="64"/>
      <c r="N182" s="64"/>
    </row>
    <row r="183" spans="1:16" x14ac:dyDescent="0.25">
      <c r="A183" s="75"/>
      <c r="B183" s="75"/>
      <c r="C183" s="73" t="s">
        <v>287</v>
      </c>
      <c r="D183" s="73" t="s">
        <v>297</v>
      </c>
      <c r="E183" s="73" t="s">
        <v>679</v>
      </c>
      <c r="F183" s="57">
        <f t="shared" si="83"/>
        <v>26230.32</v>
      </c>
      <c r="G183" s="57">
        <f t="shared" si="83"/>
        <v>0</v>
      </c>
      <c r="H183" s="57">
        <f t="shared" si="83"/>
        <v>0</v>
      </c>
      <c r="I183" s="339">
        <v>26230.32</v>
      </c>
      <c r="J183" s="57"/>
      <c r="K183" s="57"/>
      <c r="L183" s="57"/>
      <c r="M183" s="57"/>
      <c r="N183" s="57"/>
    </row>
    <row r="184" spans="1:16" x14ac:dyDescent="0.25">
      <c r="A184" s="75"/>
      <c r="B184" s="75"/>
      <c r="C184" s="73" t="s">
        <v>287</v>
      </c>
      <c r="D184" s="73" t="s">
        <v>297</v>
      </c>
      <c r="E184" s="73" t="s">
        <v>341</v>
      </c>
      <c r="F184" s="57">
        <f t="shared" si="83"/>
        <v>0</v>
      </c>
      <c r="G184" s="57">
        <f t="shared" si="83"/>
        <v>0</v>
      </c>
      <c r="H184" s="57">
        <f t="shared" si="83"/>
        <v>0</v>
      </c>
      <c r="I184" s="57"/>
      <c r="J184" s="57"/>
      <c r="K184" s="57"/>
      <c r="L184" s="57"/>
      <c r="M184" s="57"/>
      <c r="N184" s="57"/>
    </row>
    <row r="185" spans="1:16" x14ac:dyDescent="0.25">
      <c r="A185" s="75"/>
      <c r="B185" s="75"/>
      <c r="C185" s="73" t="s">
        <v>287</v>
      </c>
      <c r="D185" s="73" t="s">
        <v>297</v>
      </c>
      <c r="E185" s="73" t="s">
        <v>343</v>
      </c>
      <c r="F185" s="57">
        <f t="shared" si="83"/>
        <v>0</v>
      </c>
      <c r="G185" s="57">
        <f t="shared" si="83"/>
        <v>0</v>
      </c>
      <c r="H185" s="57">
        <f t="shared" si="83"/>
        <v>0</v>
      </c>
      <c r="I185" s="57"/>
      <c r="J185" s="57"/>
      <c r="K185" s="57"/>
      <c r="L185" s="57"/>
      <c r="M185" s="57"/>
      <c r="N185" s="57"/>
    </row>
    <row r="186" spans="1:16" hidden="1" x14ac:dyDescent="0.25">
      <c r="A186" s="74"/>
      <c r="B186" s="75"/>
      <c r="C186" s="73"/>
      <c r="D186" s="73"/>
      <c r="E186" s="73"/>
      <c r="F186" s="57">
        <f t="shared" ref="F186:H187" si="85">I186+L186</f>
        <v>0</v>
      </c>
      <c r="G186" s="57">
        <f t="shared" si="85"/>
        <v>0</v>
      </c>
      <c r="H186" s="57">
        <f t="shared" si="85"/>
        <v>0</v>
      </c>
      <c r="I186" s="57"/>
      <c r="J186" s="57"/>
      <c r="K186" s="57"/>
      <c r="L186" s="57"/>
      <c r="M186" s="57"/>
      <c r="N186" s="57"/>
    </row>
    <row r="187" spans="1:16" hidden="1" x14ac:dyDescent="0.25">
      <c r="A187" s="74"/>
      <c r="B187" s="75"/>
      <c r="C187" s="73"/>
      <c r="D187" s="73"/>
      <c r="E187" s="73"/>
      <c r="F187" s="57">
        <f t="shared" si="85"/>
        <v>0</v>
      </c>
      <c r="G187" s="57">
        <f t="shared" si="85"/>
        <v>0</v>
      </c>
      <c r="H187" s="57">
        <f t="shared" si="85"/>
        <v>0</v>
      </c>
      <c r="I187" s="57"/>
      <c r="J187" s="57"/>
      <c r="K187" s="57"/>
      <c r="L187" s="57"/>
      <c r="M187" s="57"/>
      <c r="N187" s="57"/>
    </row>
    <row r="188" spans="1:16" s="40" customFormat="1" ht="14.25" hidden="1" x14ac:dyDescent="0.2">
      <c r="A188" s="81"/>
      <c r="B188" s="71"/>
      <c r="C188" s="72"/>
      <c r="D188" s="72"/>
      <c r="E188" s="72"/>
      <c r="F188" s="64">
        <f>SUM(F189:F191)</f>
        <v>0</v>
      </c>
      <c r="G188" s="64">
        <f t="shared" ref="G188:H188" si="86">SUM(G189:G191)</f>
        <v>0</v>
      </c>
      <c r="H188" s="64">
        <f t="shared" si="86"/>
        <v>0</v>
      </c>
      <c r="I188" s="64">
        <f>SUM(I189:I191)</f>
        <v>0</v>
      </c>
      <c r="J188" s="64">
        <f t="shared" ref="J188:K188" si="87">SUM(J189:J191)</f>
        <v>0</v>
      </c>
      <c r="K188" s="64">
        <f t="shared" si="87"/>
        <v>0</v>
      </c>
      <c r="L188" s="64">
        <f>SUM(L189:L191)</f>
        <v>0</v>
      </c>
      <c r="M188" s="64">
        <f t="shared" ref="M188:N188" si="88">SUM(M189:M191)</f>
        <v>0</v>
      </c>
      <c r="N188" s="64">
        <f t="shared" si="88"/>
        <v>0</v>
      </c>
      <c r="O188" s="54" t="s">
        <v>357</v>
      </c>
      <c r="P188" s="54"/>
    </row>
    <row r="189" spans="1:16" hidden="1" x14ac:dyDescent="0.25">
      <c r="A189" s="74"/>
      <c r="B189" s="75"/>
      <c r="C189" s="73"/>
      <c r="D189" s="73"/>
      <c r="E189" s="73"/>
      <c r="F189" s="57">
        <f t="shared" ref="F189:H191" si="89">I189+L189</f>
        <v>0</v>
      </c>
      <c r="G189" s="57">
        <f t="shared" si="89"/>
        <v>0</v>
      </c>
      <c r="H189" s="57">
        <f t="shared" si="89"/>
        <v>0</v>
      </c>
      <c r="I189" s="57"/>
      <c r="J189" s="57"/>
      <c r="K189" s="57"/>
      <c r="L189" s="57"/>
      <c r="M189" s="57"/>
      <c r="N189" s="57"/>
    </row>
    <row r="190" spans="1:16" hidden="1" x14ac:dyDescent="0.25">
      <c r="A190" s="74"/>
      <c r="B190" s="75"/>
      <c r="C190" s="73"/>
      <c r="D190" s="73"/>
      <c r="E190" s="73"/>
      <c r="F190" s="57">
        <f t="shared" si="89"/>
        <v>0</v>
      </c>
      <c r="G190" s="57">
        <f t="shared" si="89"/>
        <v>0</v>
      </c>
      <c r="H190" s="57">
        <f t="shared" si="89"/>
        <v>0</v>
      </c>
      <c r="I190" s="57"/>
      <c r="J190" s="57"/>
      <c r="K190" s="57"/>
      <c r="L190" s="57"/>
      <c r="M190" s="57"/>
      <c r="N190" s="57"/>
    </row>
    <row r="191" spans="1:16" hidden="1" x14ac:dyDescent="0.25">
      <c r="A191" s="74"/>
      <c r="B191" s="75"/>
      <c r="C191" s="73"/>
      <c r="D191" s="73"/>
      <c r="E191" s="73"/>
      <c r="F191" s="57">
        <f t="shared" si="89"/>
        <v>0</v>
      </c>
      <c r="G191" s="57">
        <f t="shared" si="89"/>
        <v>0</v>
      </c>
      <c r="H191" s="57">
        <f t="shared" si="89"/>
        <v>0</v>
      </c>
      <c r="I191" s="57"/>
      <c r="J191" s="57"/>
      <c r="K191" s="57"/>
      <c r="L191" s="57"/>
      <c r="M191" s="57"/>
      <c r="N191" s="57"/>
    </row>
    <row r="192" spans="1:16" ht="31.5" customHeight="1" x14ac:dyDescent="0.25">
      <c r="A192" s="82"/>
      <c r="B192" s="83"/>
      <c r="C192" s="84"/>
      <c r="D192" s="84"/>
      <c r="E192" s="84"/>
      <c r="F192" s="85"/>
      <c r="G192" s="85"/>
      <c r="H192" s="85"/>
      <c r="I192" s="85"/>
      <c r="J192" s="85"/>
      <c r="K192" s="85"/>
      <c r="L192" s="85"/>
      <c r="M192" s="85"/>
      <c r="N192" s="85"/>
      <c r="P192" s="86"/>
    </row>
    <row r="193" spans="1:14" s="203" customFormat="1" hidden="1" x14ac:dyDescent="0.25">
      <c r="A193" s="203" t="s">
        <v>277</v>
      </c>
      <c r="B193" s="204"/>
      <c r="C193" s="205"/>
      <c r="D193" s="205">
        <v>244</v>
      </c>
      <c r="E193" s="205"/>
      <c r="F193" s="206">
        <f>SUM(F13,F23,F39,F41,F57,F58,F63,F70)</f>
        <v>287821.65000000002</v>
      </c>
      <c r="G193" s="206">
        <f t="shared" ref="G193:H193" si="90">SUM(G13,G23,G39,G41,G57,G58,G63,G70)</f>
        <v>253776.88999999998</v>
      </c>
      <c r="H193" s="206">
        <f t="shared" si="90"/>
        <v>253776.88999999998</v>
      </c>
      <c r="I193" s="206">
        <f>SUM(I13,I23,I41,I57,I58,I63,I70)</f>
        <v>230221.65000000002</v>
      </c>
      <c r="J193" s="206">
        <f t="shared" ref="J193:L193" si="91">SUM(J13,J23,J41,J57,J58,J63,J70)</f>
        <v>196176.88999999998</v>
      </c>
      <c r="K193" s="206">
        <f t="shared" si="91"/>
        <v>196176.88999999998</v>
      </c>
      <c r="L193" s="206">
        <f t="shared" si="91"/>
        <v>0</v>
      </c>
      <c r="M193" s="206"/>
      <c r="N193" s="206"/>
    </row>
    <row r="194" spans="1:14" s="203" customFormat="1" hidden="1" x14ac:dyDescent="0.25">
      <c r="A194" s="207" t="s">
        <v>358</v>
      </c>
      <c r="B194" s="204"/>
      <c r="C194" s="205"/>
      <c r="D194" s="205"/>
      <c r="E194" s="205">
        <v>220</v>
      </c>
      <c r="F194" s="206">
        <f>F193-F195-F196</f>
        <v>204337.65000000002</v>
      </c>
      <c r="G194" s="206">
        <f t="shared" ref="G194:L194" si="92">G193-G195-G196</f>
        <v>170292.88999999998</v>
      </c>
      <c r="H194" s="206">
        <f t="shared" si="92"/>
        <v>170292.88999999998</v>
      </c>
      <c r="I194" s="206">
        <f t="shared" si="92"/>
        <v>146737.65000000002</v>
      </c>
      <c r="J194" s="206">
        <f t="shared" si="92"/>
        <v>112692.88999999998</v>
      </c>
      <c r="K194" s="206">
        <f t="shared" si="92"/>
        <v>112692.88999999998</v>
      </c>
      <c r="L194" s="206">
        <f t="shared" si="92"/>
        <v>0</v>
      </c>
      <c r="M194" s="206"/>
      <c r="N194" s="206"/>
    </row>
    <row r="195" spans="1:14" s="203" customFormat="1" hidden="1" x14ac:dyDescent="0.25">
      <c r="A195" s="207" t="s">
        <v>252</v>
      </c>
      <c r="B195" s="204"/>
      <c r="C195" s="205"/>
      <c r="D195" s="205"/>
      <c r="E195" s="205">
        <v>310</v>
      </c>
      <c r="F195" s="206"/>
      <c r="G195" s="206"/>
      <c r="H195" s="206"/>
      <c r="I195" s="206"/>
      <c r="J195" s="206"/>
      <c r="K195" s="206"/>
      <c r="L195" s="206"/>
      <c r="M195" s="206"/>
      <c r="N195" s="206"/>
    </row>
    <row r="196" spans="1:14" s="203" customFormat="1" hidden="1" x14ac:dyDescent="0.25">
      <c r="A196" s="207" t="s">
        <v>253</v>
      </c>
      <c r="B196" s="204"/>
      <c r="C196" s="205"/>
      <c r="D196" s="205"/>
      <c r="E196" s="205">
        <v>340</v>
      </c>
      <c r="F196" s="206">
        <f t="shared" ref="F196:L196" si="93">F58</f>
        <v>83484</v>
      </c>
      <c r="G196" s="206">
        <f t="shared" si="93"/>
        <v>83484</v>
      </c>
      <c r="H196" s="206">
        <f t="shared" si="93"/>
        <v>83484</v>
      </c>
      <c r="I196" s="206">
        <f t="shared" si="93"/>
        <v>83484</v>
      </c>
      <c r="J196" s="206">
        <f t="shared" si="93"/>
        <v>83484</v>
      </c>
      <c r="K196" s="206">
        <f t="shared" si="93"/>
        <v>83484</v>
      </c>
      <c r="L196" s="206">
        <f t="shared" si="93"/>
        <v>0</v>
      </c>
      <c r="M196" s="206"/>
      <c r="N196" s="206"/>
    </row>
    <row r="197" spans="1:14" s="203" customFormat="1" hidden="1" x14ac:dyDescent="0.25">
      <c r="A197" s="203" t="s">
        <v>353</v>
      </c>
      <c r="B197" s="204"/>
      <c r="C197" s="205"/>
      <c r="D197" s="205">
        <v>244</v>
      </c>
      <c r="E197" s="205"/>
      <c r="F197" s="206">
        <f>SUBTOTAL(9,F141,F142,F140,F139)</f>
        <v>0</v>
      </c>
      <c r="G197" s="206">
        <f t="shared" ref="G197:L197" si="94">SUBTOTAL(9,G141,G142,G140,G139)</f>
        <v>0</v>
      </c>
      <c r="H197" s="206">
        <f t="shared" si="94"/>
        <v>0</v>
      </c>
      <c r="I197" s="206">
        <f t="shared" si="94"/>
        <v>0</v>
      </c>
      <c r="J197" s="206">
        <f t="shared" si="94"/>
        <v>0</v>
      </c>
      <c r="K197" s="206">
        <f t="shared" si="94"/>
        <v>0</v>
      </c>
      <c r="L197" s="206">
        <f t="shared" si="94"/>
        <v>0</v>
      </c>
      <c r="M197" s="206"/>
      <c r="N197" s="206"/>
    </row>
    <row r="198" spans="1:14" s="203" customFormat="1" hidden="1" x14ac:dyDescent="0.25">
      <c r="A198" s="207" t="s">
        <v>358</v>
      </c>
      <c r="B198" s="204"/>
      <c r="C198" s="205"/>
      <c r="D198" s="205"/>
      <c r="E198" s="205">
        <v>220</v>
      </c>
      <c r="F198" s="206">
        <f>F197-F199-F200</f>
        <v>0</v>
      </c>
      <c r="G198" s="206">
        <f t="shared" ref="G198:L198" si="95">G197-G199-G200</f>
        <v>0</v>
      </c>
      <c r="H198" s="206">
        <f t="shared" si="95"/>
        <v>0</v>
      </c>
      <c r="I198" s="206">
        <f t="shared" si="95"/>
        <v>0</v>
      </c>
      <c r="J198" s="206">
        <f t="shared" si="95"/>
        <v>0</v>
      </c>
      <c r="K198" s="206">
        <f t="shared" si="95"/>
        <v>0</v>
      </c>
      <c r="L198" s="206">
        <f t="shared" si="95"/>
        <v>0</v>
      </c>
      <c r="M198" s="206"/>
      <c r="N198" s="206"/>
    </row>
    <row r="199" spans="1:14" s="203" customFormat="1" hidden="1" x14ac:dyDescent="0.25">
      <c r="A199" s="207" t="s">
        <v>252</v>
      </c>
      <c r="B199" s="204"/>
      <c r="C199" s="205"/>
      <c r="D199" s="205"/>
      <c r="E199" s="205">
        <v>310</v>
      </c>
      <c r="F199" s="206">
        <f t="shared" ref="F199:L199" si="96">F142</f>
        <v>0</v>
      </c>
      <c r="G199" s="206">
        <f t="shared" si="96"/>
        <v>0</v>
      </c>
      <c r="H199" s="206">
        <f t="shared" si="96"/>
        <v>0</v>
      </c>
      <c r="I199" s="206">
        <f t="shared" si="96"/>
        <v>0</v>
      </c>
      <c r="J199" s="206">
        <f t="shared" si="96"/>
        <v>0</v>
      </c>
      <c r="K199" s="206">
        <f t="shared" si="96"/>
        <v>0</v>
      </c>
      <c r="L199" s="206">
        <f t="shared" si="96"/>
        <v>0</v>
      </c>
      <c r="M199" s="206"/>
      <c r="N199" s="206"/>
    </row>
    <row r="200" spans="1:14" s="203" customFormat="1" hidden="1" x14ac:dyDescent="0.25">
      <c r="A200" s="207" t="s">
        <v>253</v>
      </c>
      <c r="B200" s="204"/>
      <c r="C200" s="205"/>
      <c r="D200" s="205"/>
      <c r="E200" s="205">
        <v>340</v>
      </c>
      <c r="F200" s="206"/>
      <c r="G200" s="206"/>
      <c r="H200" s="206"/>
      <c r="I200" s="206"/>
      <c r="J200" s="206"/>
      <c r="K200" s="206"/>
      <c r="L200" s="206"/>
      <c r="M200" s="206"/>
      <c r="N200" s="206"/>
    </row>
    <row r="201" spans="1:14" s="203" customFormat="1" hidden="1" x14ac:dyDescent="0.25">
      <c r="A201" s="203" t="s">
        <v>277</v>
      </c>
      <c r="B201" s="204"/>
      <c r="C201" s="205"/>
      <c r="D201" s="205">
        <v>244</v>
      </c>
      <c r="E201" s="205"/>
      <c r="F201" s="206">
        <f>SUM(F24,F31,F47,F49,F65,F66,F71,F78)</f>
        <v>49922.159999999996</v>
      </c>
      <c r="G201" s="206">
        <f t="shared" ref="G201:L201" si="97">SUM(G24,G31,G47,G49,G65,G66,G71,G78)</f>
        <v>39414.53</v>
      </c>
      <c r="H201" s="206">
        <f t="shared" si="97"/>
        <v>39414.53</v>
      </c>
      <c r="I201" s="206">
        <f t="shared" si="97"/>
        <v>49922.159999999996</v>
      </c>
      <c r="J201" s="206">
        <f t="shared" si="97"/>
        <v>39414.53</v>
      </c>
      <c r="K201" s="206">
        <f t="shared" si="97"/>
        <v>39414.53</v>
      </c>
      <c r="L201" s="206">
        <f t="shared" si="97"/>
        <v>0</v>
      </c>
      <c r="M201" s="206"/>
      <c r="N201" s="206"/>
    </row>
    <row r="202" spans="1:14" s="203" customFormat="1" hidden="1" x14ac:dyDescent="0.25">
      <c r="A202" s="207" t="s">
        <v>358</v>
      </c>
      <c r="B202" s="204"/>
      <c r="C202" s="205"/>
      <c r="D202" s="205"/>
      <c r="E202" s="205">
        <v>220</v>
      </c>
      <c r="F202" s="206">
        <f>F201-F203-F204</f>
        <v>14898.57</v>
      </c>
      <c r="G202" s="206">
        <f t="shared" ref="G202:L202" si="98">G201-G203-G204</f>
        <v>14898.57</v>
      </c>
      <c r="H202" s="206">
        <f t="shared" si="98"/>
        <v>14898.57</v>
      </c>
      <c r="I202" s="206">
        <f t="shared" si="98"/>
        <v>14898.57</v>
      </c>
      <c r="J202" s="206">
        <f t="shared" si="98"/>
        <v>14898.57</v>
      </c>
      <c r="K202" s="206">
        <f t="shared" si="98"/>
        <v>14898.57</v>
      </c>
      <c r="L202" s="206">
        <f t="shared" si="98"/>
        <v>0</v>
      </c>
      <c r="M202" s="206"/>
      <c r="N202" s="206"/>
    </row>
    <row r="203" spans="1:14" s="203" customFormat="1" hidden="1" x14ac:dyDescent="0.25">
      <c r="A203" s="207" t="s">
        <v>252</v>
      </c>
      <c r="B203" s="204"/>
      <c r="C203" s="205"/>
      <c r="D203" s="205"/>
      <c r="E203" s="205">
        <v>310</v>
      </c>
      <c r="F203" s="206"/>
      <c r="G203" s="206"/>
      <c r="H203" s="206"/>
      <c r="I203" s="206"/>
      <c r="J203" s="206"/>
      <c r="K203" s="206"/>
      <c r="L203" s="206"/>
      <c r="M203" s="206"/>
      <c r="N203" s="206"/>
    </row>
    <row r="204" spans="1:14" s="203" customFormat="1" hidden="1" x14ac:dyDescent="0.25">
      <c r="A204" s="207" t="s">
        <v>253</v>
      </c>
      <c r="B204" s="204"/>
      <c r="C204" s="205"/>
      <c r="D204" s="205"/>
      <c r="E204" s="205">
        <v>340</v>
      </c>
      <c r="F204" s="206">
        <f t="shared" ref="F204:L204" si="99">F66</f>
        <v>35023.589999999997</v>
      </c>
      <c r="G204" s="206">
        <f t="shared" si="99"/>
        <v>24515.96</v>
      </c>
      <c r="H204" s="206">
        <f t="shared" si="99"/>
        <v>24515.96</v>
      </c>
      <c r="I204" s="206">
        <f t="shared" si="99"/>
        <v>35023.589999999997</v>
      </c>
      <c r="J204" s="206">
        <f t="shared" si="99"/>
        <v>24515.96</v>
      </c>
      <c r="K204" s="206">
        <f t="shared" si="99"/>
        <v>24515.96</v>
      </c>
      <c r="L204" s="206">
        <f t="shared" si="99"/>
        <v>0</v>
      </c>
      <c r="M204" s="206"/>
      <c r="N204" s="206"/>
    </row>
    <row r="205" spans="1:14" x14ac:dyDescent="0.25">
      <c r="F205" s="44"/>
      <c r="G205" s="44"/>
      <c r="H205" s="44"/>
      <c r="I205" s="44"/>
      <c r="J205" s="44"/>
      <c r="K205" s="44"/>
      <c r="L205" s="44"/>
      <c r="M205" s="44"/>
      <c r="N205" s="44"/>
    </row>
    <row r="206" spans="1:14" x14ac:dyDescent="0.25">
      <c r="F206" s="44"/>
      <c r="G206" s="44"/>
      <c r="H206" s="44"/>
      <c r="I206" s="44"/>
      <c r="J206" s="44"/>
      <c r="K206" s="44"/>
      <c r="L206" s="44"/>
      <c r="M206" s="44"/>
      <c r="N206" s="44"/>
    </row>
    <row r="207" spans="1:14" x14ac:dyDescent="0.25">
      <c r="F207" s="44"/>
      <c r="G207" s="44"/>
      <c r="H207" s="44"/>
      <c r="I207" s="44"/>
      <c r="J207" s="44"/>
      <c r="K207" s="44"/>
      <c r="L207" s="44"/>
      <c r="M207" s="44"/>
      <c r="N207" s="44"/>
    </row>
    <row r="208" spans="1:14" x14ac:dyDescent="0.25">
      <c r="F208" s="44"/>
      <c r="G208" s="44"/>
      <c r="H208" s="44"/>
      <c r="I208" s="44"/>
      <c r="J208" s="44"/>
      <c r="K208" s="44"/>
      <c r="L208" s="44"/>
      <c r="M208" s="44"/>
      <c r="N208" s="44"/>
    </row>
    <row r="209" spans="6:14" x14ac:dyDescent="0.25">
      <c r="F209" s="44"/>
      <c r="G209" s="44"/>
      <c r="H209" s="44"/>
      <c r="I209" s="44"/>
      <c r="J209" s="44"/>
      <c r="K209" s="44"/>
      <c r="L209" s="44"/>
      <c r="M209" s="44"/>
      <c r="N209" s="44"/>
    </row>
    <row r="210" spans="6:14" x14ac:dyDescent="0.25">
      <c r="F210" s="44"/>
      <c r="G210" s="44"/>
      <c r="H210" s="44"/>
      <c r="I210" s="44"/>
      <c r="J210" s="44"/>
      <c r="K210" s="44"/>
      <c r="L210" s="44"/>
      <c r="M210" s="44"/>
      <c r="N210" s="44"/>
    </row>
    <row r="211" spans="6:14" x14ac:dyDescent="0.25">
      <c r="F211" s="44"/>
      <c r="G211" s="44"/>
      <c r="H211" s="44"/>
      <c r="I211" s="44"/>
      <c r="J211" s="44"/>
      <c r="K211" s="44"/>
      <c r="L211" s="44"/>
      <c r="M211" s="44"/>
      <c r="N211" s="44"/>
    </row>
    <row r="212" spans="6:14" x14ac:dyDescent="0.25">
      <c r="F212" s="44"/>
      <c r="G212" s="44"/>
      <c r="H212" s="44"/>
      <c r="I212" s="44"/>
      <c r="J212" s="44"/>
      <c r="K212" s="44"/>
      <c r="L212" s="44"/>
      <c r="M212" s="44"/>
      <c r="N212" s="44"/>
    </row>
    <row r="213" spans="6:14" x14ac:dyDescent="0.25">
      <c r="F213" s="44"/>
      <c r="G213" s="44"/>
      <c r="H213" s="44"/>
      <c r="I213" s="44"/>
      <c r="J213" s="44"/>
      <c r="K213" s="44"/>
      <c r="L213" s="44"/>
      <c r="M213" s="44"/>
      <c r="N213" s="44"/>
    </row>
    <row r="214" spans="6:14" x14ac:dyDescent="0.25">
      <c r="F214" s="44"/>
      <c r="G214" s="44"/>
      <c r="H214" s="44"/>
      <c r="I214" s="44"/>
      <c r="J214" s="44"/>
      <c r="K214" s="44"/>
      <c r="L214" s="44"/>
      <c r="M214" s="44"/>
      <c r="N214" s="44"/>
    </row>
    <row r="215" spans="6:14" x14ac:dyDescent="0.25">
      <c r="F215" s="44"/>
      <c r="G215" s="44"/>
      <c r="H215" s="44"/>
      <c r="I215" s="44"/>
      <c r="J215" s="44"/>
      <c r="K215" s="44"/>
      <c r="L215" s="44"/>
      <c r="M215" s="44"/>
      <c r="N215" s="44"/>
    </row>
    <row r="216" spans="6:14" x14ac:dyDescent="0.25">
      <c r="F216" s="44"/>
      <c r="G216" s="44"/>
      <c r="H216" s="44"/>
      <c r="I216" s="44"/>
      <c r="J216" s="44"/>
      <c r="K216" s="44"/>
      <c r="L216" s="44"/>
      <c r="M216" s="44"/>
      <c r="N216" s="44"/>
    </row>
    <row r="217" spans="6:14" x14ac:dyDescent="0.25">
      <c r="F217" s="44"/>
      <c r="G217" s="44"/>
      <c r="H217" s="44"/>
      <c r="I217" s="44"/>
      <c r="J217" s="44"/>
      <c r="K217" s="44"/>
      <c r="L217" s="44"/>
      <c r="M217" s="44"/>
      <c r="N217" s="44"/>
    </row>
    <row r="218" spans="6:14" x14ac:dyDescent="0.25">
      <c r="F218" s="44"/>
      <c r="G218" s="44"/>
      <c r="H218" s="44"/>
      <c r="I218" s="44"/>
      <c r="J218" s="44"/>
      <c r="K218" s="44"/>
      <c r="L218" s="44"/>
      <c r="M218" s="44"/>
      <c r="N218" s="44"/>
    </row>
    <row r="219" spans="6:14" x14ac:dyDescent="0.25">
      <c r="F219" s="44"/>
      <c r="G219" s="44"/>
      <c r="H219" s="44"/>
      <c r="I219" s="44"/>
      <c r="J219" s="44"/>
      <c r="K219" s="44"/>
      <c r="L219" s="44"/>
      <c r="M219" s="44"/>
      <c r="N219" s="44"/>
    </row>
    <row r="220" spans="6:14" x14ac:dyDescent="0.25">
      <c r="F220" s="44"/>
      <c r="G220" s="44"/>
      <c r="H220" s="44"/>
      <c r="I220" s="44"/>
      <c r="J220" s="44"/>
      <c r="K220" s="44"/>
      <c r="L220" s="44"/>
      <c r="M220" s="44"/>
      <c r="N220" s="44"/>
    </row>
    <row r="221" spans="6:14" x14ac:dyDescent="0.25">
      <c r="F221" s="44"/>
      <c r="G221" s="44"/>
      <c r="H221" s="44"/>
      <c r="I221" s="44"/>
      <c r="J221" s="44"/>
      <c r="K221" s="44"/>
      <c r="L221" s="44"/>
      <c r="M221" s="44"/>
      <c r="N221" s="44"/>
    </row>
    <row r="222" spans="6:14" x14ac:dyDescent="0.25">
      <c r="F222" s="44"/>
      <c r="G222" s="44"/>
      <c r="H222" s="44"/>
      <c r="I222" s="44"/>
      <c r="J222" s="44"/>
      <c r="K222" s="44"/>
      <c r="L222" s="44"/>
      <c r="M222" s="44"/>
      <c r="N222" s="44"/>
    </row>
    <row r="223" spans="6:14" x14ac:dyDescent="0.25">
      <c r="F223" s="44"/>
      <c r="G223" s="44"/>
      <c r="H223" s="44"/>
      <c r="I223" s="44"/>
      <c r="J223" s="44"/>
      <c r="K223" s="44"/>
      <c r="L223" s="44"/>
      <c r="M223" s="44"/>
      <c r="N223" s="44"/>
    </row>
    <row r="224" spans="6:14" x14ac:dyDescent="0.25">
      <c r="F224" s="44"/>
      <c r="G224" s="44"/>
      <c r="H224" s="44"/>
      <c r="I224" s="44"/>
      <c r="J224" s="44"/>
      <c r="K224" s="44"/>
      <c r="L224" s="44"/>
      <c r="M224" s="44"/>
      <c r="N224" s="44"/>
    </row>
    <row r="225" spans="6:14" x14ac:dyDescent="0.25">
      <c r="F225" s="44"/>
      <c r="G225" s="44"/>
      <c r="H225" s="44"/>
      <c r="I225" s="44"/>
      <c r="J225" s="44"/>
      <c r="K225" s="44"/>
      <c r="L225" s="44"/>
      <c r="M225" s="44"/>
      <c r="N225" s="44"/>
    </row>
    <row r="226" spans="6:14" x14ac:dyDescent="0.25">
      <c r="F226" s="44"/>
      <c r="G226" s="44"/>
      <c r="H226" s="44"/>
      <c r="I226" s="44"/>
      <c r="J226" s="44"/>
      <c r="K226" s="44"/>
      <c r="L226" s="44"/>
      <c r="M226" s="44"/>
      <c r="N226" s="44"/>
    </row>
    <row r="227" spans="6:14" x14ac:dyDescent="0.25">
      <c r="F227" s="44"/>
      <c r="G227" s="44"/>
      <c r="H227" s="44"/>
      <c r="I227" s="44"/>
      <c r="J227" s="44"/>
      <c r="K227" s="44"/>
      <c r="L227" s="44"/>
      <c r="M227" s="44"/>
      <c r="N227" s="44"/>
    </row>
    <row r="228" spans="6:14" x14ac:dyDescent="0.25">
      <c r="F228" s="44"/>
      <c r="G228" s="44"/>
      <c r="H228" s="44"/>
      <c r="I228" s="44"/>
      <c r="J228" s="44"/>
      <c r="K228" s="44"/>
      <c r="L228" s="44"/>
      <c r="M228" s="44"/>
      <c r="N228" s="44"/>
    </row>
    <row r="229" spans="6:14" x14ac:dyDescent="0.25">
      <c r="F229" s="44"/>
      <c r="G229" s="44"/>
      <c r="H229" s="44"/>
      <c r="I229" s="44"/>
      <c r="J229" s="44"/>
      <c r="K229" s="44"/>
      <c r="L229" s="44"/>
      <c r="M229" s="44"/>
      <c r="N229" s="44"/>
    </row>
    <row r="230" spans="6:14" x14ac:dyDescent="0.25">
      <c r="F230" s="44"/>
      <c r="G230" s="44"/>
      <c r="H230" s="44"/>
      <c r="I230" s="44"/>
      <c r="J230" s="44"/>
      <c r="K230" s="44"/>
      <c r="L230" s="44"/>
      <c r="M230" s="44"/>
      <c r="N230" s="44"/>
    </row>
    <row r="231" spans="6:14" x14ac:dyDescent="0.25">
      <c r="F231" s="44"/>
      <c r="G231" s="44"/>
      <c r="H231" s="44"/>
      <c r="I231" s="44"/>
      <c r="J231" s="44"/>
      <c r="K231" s="44"/>
      <c r="L231" s="44"/>
      <c r="M231" s="44"/>
      <c r="N231" s="44"/>
    </row>
    <row r="232" spans="6:14" x14ac:dyDescent="0.25">
      <c r="F232" s="44"/>
      <c r="G232" s="44"/>
      <c r="H232" s="44"/>
      <c r="I232" s="44"/>
      <c r="J232" s="44"/>
      <c r="K232" s="44"/>
      <c r="L232" s="44"/>
      <c r="M232" s="44"/>
      <c r="N232" s="44"/>
    </row>
    <row r="233" spans="6:14" x14ac:dyDescent="0.25">
      <c r="F233" s="44"/>
      <c r="G233" s="44"/>
      <c r="H233" s="44"/>
      <c r="I233" s="44"/>
      <c r="J233" s="44"/>
      <c r="K233" s="44"/>
      <c r="L233" s="44"/>
      <c r="M233" s="44"/>
      <c r="N233" s="44"/>
    </row>
    <row r="234" spans="6:14" x14ac:dyDescent="0.25">
      <c r="F234" s="44"/>
      <c r="G234" s="44"/>
      <c r="H234" s="44"/>
      <c r="I234" s="44"/>
      <c r="J234" s="44"/>
      <c r="K234" s="44"/>
      <c r="L234" s="44"/>
      <c r="M234" s="44"/>
      <c r="N234" s="44"/>
    </row>
    <row r="235" spans="6:14" x14ac:dyDescent="0.25">
      <c r="F235" s="44"/>
      <c r="G235" s="44"/>
      <c r="H235" s="44"/>
      <c r="I235" s="44"/>
      <c r="J235" s="44"/>
      <c r="K235" s="44"/>
      <c r="L235" s="44"/>
      <c r="M235" s="44"/>
      <c r="N235" s="44"/>
    </row>
    <row r="236" spans="6:14" x14ac:dyDescent="0.25">
      <c r="F236" s="44"/>
      <c r="G236" s="44"/>
      <c r="H236" s="44"/>
      <c r="I236" s="44"/>
      <c r="J236" s="44"/>
      <c r="K236" s="44"/>
      <c r="L236" s="44"/>
      <c r="M236" s="44"/>
      <c r="N236" s="44"/>
    </row>
    <row r="237" spans="6:14" x14ac:dyDescent="0.25">
      <c r="F237" s="44"/>
      <c r="G237" s="44"/>
      <c r="H237" s="44"/>
      <c r="I237" s="44"/>
      <c r="J237" s="44"/>
      <c r="K237" s="44"/>
      <c r="L237" s="44"/>
      <c r="M237" s="44"/>
      <c r="N237" s="44"/>
    </row>
    <row r="238" spans="6:14" x14ac:dyDescent="0.25">
      <c r="F238" s="44"/>
      <c r="G238" s="44"/>
      <c r="H238" s="44"/>
      <c r="I238" s="44"/>
      <c r="J238" s="44"/>
      <c r="K238" s="44"/>
      <c r="L238" s="44"/>
      <c r="M238" s="44"/>
      <c r="N238" s="44"/>
    </row>
    <row r="239" spans="6:14" x14ac:dyDescent="0.25">
      <c r="F239" s="44"/>
      <c r="G239" s="44"/>
      <c r="H239" s="44"/>
      <c r="I239" s="44"/>
      <c r="J239" s="44"/>
      <c r="K239" s="44"/>
      <c r="L239" s="44"/>
      <c r="M239" s="44"/>
      <c r="N239" s="44"/>
    </row>
    <row r="240" spans="6:14" x14ac:dyDescent="0.25">
      <c r="F240" s="44"/>
      <c r="G240" s="44"/>
      <c r="H240" s="44"/>
      <c r="I240" s="44"/>
      <c r="J240" s="44"/>
      <c r="K240" s="44"/>
      <c r="L240" s="44"/>
      <c r="M240" s="44"/>
      <c r="N240" s="44"/>
    </row>
    <row r="241" spans="6:14" x14ac:dyDescent="0.25">
      <c r="F241" s="44"/>
      <c r="G241" s="44"/>
      <c r="H241" s="44"/>
      <c r="I241" s="44"/>
      <c r="J241" s="44"/>
      <c r="K241" s="44"/>
      <c r="L241" s="44"/>
      <c r="M241" s="44"/>
      <c r="N241" s="44"/>
    </row>
  </sheetData>
  <autoFilter ref="A4:P191"/>
  <mergeCells count="8">
    <mergeCell ref="I2:K2"/>
    <mergeCell ref="L2:N2"/>
    <mergeCell ref="A2:A4"/>
    <mergeCell ref="B2:B4"/>
    <mergeCell ref="C2:C4"/>
    <mergeCell ref="D2:D4"/>
    <mergeCell ref="E2:E4"/>
    <mergeCell ref="F2:H2"/>
  </mergeCells>
  <pageMargins left="0" right="0" top="0" bottom="0" header="0" footer="0"/>
  <pageSetup paperSize="9" scale="68" fitToHeight="0" orientation="landscape" r:id="rId1"/>
  <rowBreaks count="1" manualBreakCount="1">
    <brk id="67" max="1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CC"/>
    <pageSetUpPr fitToPage="1"/>
  </sheetPr>
  <dimension ref="A1:K395"/>
  <sheetViews>
    <sheetView showZeros="0" zoomScaleNormal="100" workbookViewId="0">
      <pane xSplit="3" ySplit="6" topLeftCell="D388" activePane="bottomRight" state="frozen"/>
      <selection activeCell="I20" sqref="I20"/>
      <selection pane="topRight" activeCell="I20" sqref="I20"/>
      <selection pane="bottomLeft" activeCell="I20" sqref="I20"/>
      <selection pane="bottomRight" activeCell="I20" sqref="I20"/>
    </sheetView>
  </sheetViews>
  <sheetFormatPr defaultColWidth="9.140625" defaultRowHeight="15" x14ac:dyDescent="0.25"/>
  <cols>
    <col min="1" max="1" width="59.7109375" style="45" customWidth="1"/>
    <col min="2" max="2" width="5.28515625" style="87" bestFit="1" customWidth="1"/>
    <col min="3" max="3" width="6.85546875" style="87" customWidth="1"/>
    <col min="4" max="4" width="15.42578125" style="43" customWidth="1"/>
    <col min="5" max="6" width="15.42578125" style="43" bestFit="1" customWidth="1"/>
    <col min="7" max="7" width="9.140625" style="45"/>
    <col min="8" max="8" width="14.5703125" style="45" customWidth="1"/>
    <col min="9" max="9" width="13" style="45" customWidth="1"/>
    <col min="10" max="10" width="11" style="45" customWidth="1"/>
    <col min="11" max="11" width="10.85546875" style="45" customWidth="1"/>
    <col min="12" max="16384" width="9.140625" style="45"/>
  </cols>
  <sheetData>
    <row r="1" spans="1:8" s="208" customFormat="1" thickBot="1" x14ac:dyDescent="0.25">
      <c r="A1" s="208" t="s">
        <v>359</v>
      </c>
      <c r="B1" s="209"/>
      <c r="C1" s="209"/>
      <c r="D1" s="210">
        <f>D7+D18+D29+D40-D51</f>
        <v>0</v>
      </c>
      <c r="E1" s="210">
        <f t="shared" ref="E1:F1" si="0">E7+E18+E29+E40-E51</f>
        <v>0</v>
      </c>
      <c r="F1" s="210">
        <f t="shared" si="0"/>
        <v>0</v>
      </c>
      <c r="G1" s="211" t="s">
        <v>360</v>
      </c>
      <c r="H1" s="212"/>
    </row>
    <row r="3" spans="1:8" x14ac:dyDescent="0.25">
      <c r="A3" s="40" t="s">
        <v>269</v>
      </c>
      <c r="B3" s="42"/>
      <c r="C3" s="42"/>
    </row>
    <row r="4" spans="1:8" x14ac:dyDescent="0.25">
      <c r="A4" s="582"/>
      <c r="B4" s="588" t="s">
        <v>272</v>
      </c>
      <c r="C4" s="588" t="s">
        <v>162</v>
      </c>
      <c r="D4" s="591" t="s">
        <v>361</v>
      </c>
      <c r="E4" s="592"/>
      <c r="F4" s="593"/>
    </row>
    <row r="5" spans="1:8" s="47" customFormat="1" ht="14.25" x14ac:dyDescent="0.2">
      <c r="A5" s="583"/>
      <c r="B5" s="589"/>
      <c r="C5" s="589"/>
      <c r="D5" s="88">
        <v>2021</v>
      </c>
      <c r="E5" s="88">
        <f>D5+1</f>
        <v>2022</v>
      </c>
      <c r="F5" s="88">
        <f>E5+1</f>
        <v>2023</v>
      </c>
    </row>
    <row r="6" spans="1:8" s="47" customFormat="1" x14ac:dyDescent="0.25">
      <c r="A6" s="89">
        <v>1</v>
      </c>
      <c r="B6" s="90">
        <f>A6+1</f>
        <v>2</v>
      </c>
      <c r="C6" s="90">
        <f t="shared" ref="C6:F6" si="1">B6+1</f>
        <v>3</v>
      </c>
      <c r="D6" s="91">
        <f t="shared" si="1"/>
        <v>4</v>
      </c>
      <c r="E6" s="91">
        <f t="shared" si="1"/>
        <v>5</v>
      </c>
      <c r="F6" s="91">
        <f t="shared" si="1"/>
        <v>6</v>
      </c>
    </row>
    <row r="7" spans="1:8" s="47" customFormat="1" ht="28.5" x14ac:dyDescent="0.2">
      <c r="A7" s="92" t="s">
        <v>362</v>
      </c>
      <c r="B7" s="118" t="s">
        <v>26</v>
      </c>
      <c r="C7" s="118" t="s">
        <v>26</v>
      </c>
      <c r="D7" s="93">
        <f>SUM(D8:D17)</f>
        <v>329282.77</v>
      </c>
      <c r="E7" s="93">
        <f t="shared" ref="E7:F7" si="2">SUM(E8:E17)</f>
        <v>0</v>
      </c>
      <c r="F7" s="93">
        <f t="shared" si="2"/>
        <v>0</v>
      </c>
    </row>
    <row r="8" spans="1:8" s="82" customFormat="1" ht="29.25" customHeight="1" x14ac:dyDescent="0.25">
      <c r="A8" s="94" t="s">
        <v>476</v>
      </c>
      <c r="B8" s="95"/>
      <c r="C8" s="95"/>
      <c r="D8" s="57"/>
      <c r="E8" s="57"/>
      <c r="F8" s="57"/>
    </row>
    <row r="9" spans="1:8" s="82" customFormat="1" x14ac:dyDescent="0.25">
      <c r="A9" s="94" t="s">
        <v>363</v>
      </c>
      <c r="B9" s="95" t="s">
        <v>26</v>
      </c>
      <c r="C9" s="95" t="s">
        <v>26</v>
      </c>
      <c r="D9" s="57">
        <v>32642.58</v>
      </c>
      <c r="E9" s="57"/>
      <c r="F9" s="57"/>
    </row>
    <row r="10" spans="1:8" s="82" customFormat="1" x14ac:dyDescent="0.25">
      <c r="A10" s="94" t="s">
        <v>364</v>
      </c>
      <c r="B10" s="95" t="s">
        <v>26</v>
      </c>
      <c r="C10" s="95" t="s">
        <v>26</v>
      </c>
      <c r="D10" s="57"/>
      <c r="E10" s="57"/>
      <c r="F10" s="57"/>
    </row>
    <row r="11" spans="1:8" s="82" customFormat="1" x14ac:dyDescent="0.25">
      <c r="A11" s="94" t="s">
        <v>365</v>
      </c>
      <c r="B11" s="95" t="s">
        <v>26</v>
      </c>
      <c r="C11" s="95" t="s">
        <v>26</v>
      </c>
      <c r="D11" s="57"/>
      <c r="E11" s="57"/>
      <c r="F11" s="57"/>
    </row>
    <row r="12" spans="1:8" s="82" customFormat="1" x14ac:dyDescent="0.25">
      <c r="A12" s="94" t="s">
        <v>366</v>
      </c>
      <c r="B12" s="95" t="s">
        <v>26</v>
      </c>
      <c r="C12" s="95" t="s">
        <v>26</v>
      </c>
      <c r="D12" s="57"/>
      <c r="E12" s="57"/>
      <c r="F12" s="57"/>
    </row>
    <row r="13" spans="1:8" s="82" customFormat="1" x14ac:dyDescent="0.25">
      <c r="A13" s="94" t="s">
        <v>367</v>
      </c>
      <c r="B13" s="95" t="s">
        <v>26</v>
      </c>
      <c r="C13" s="95" t="s">
        <v>26</v>
      </c>
      <c r="D13" s="57"/>
      <c r="E13" s="57"/>
      <c r="F13" s="57"/>
    </row>
    <row r="14" spans="1:8" s="82" customFormat="1" x14ac:dyDescent="0.25">
      <c r="A14" s="94"/>
      <c r="B14" s="95"/>
      <c r="C14" s="95"/>
      <c r="D14" s="57"/>
      <c r="E14" s="57"/>
      <c r="F14" s="57"/>
    </row>
    <row r="15" spans="1:8" s="82" customFormat="1" ht="14.25" customHeight="1" x14ac:dyDescent="0.25">
      <c r="A15" s="94" t="s">
        <v>368</v>
      </c>
      <c r="B15" s="95" t="s">
        <v>26</v>
      </c>
      <c r="C15" s="95" t="s">
        <v>26</v>
      </c>
      <c r="D15" s="57">
        <v>296640.19</v>
      </c>
      <c r="E15" s="57"/>
      <c r="F15" s="57"/>
    </row>
    <row r="16" spans="1:8" s="82" customFormat="1" x14ac:dyDescent="0.25">
      <c r="A16" s="94" t="s">
        <v>369</v>
      </c>
      <c r="B16" s="95" t="s">
        <v>26</v>
      </c>
      <c r="C16" s="95" t="s">
        <v>26</v>
      </c>
      <c r="D16" s="57"/>
      <c r="E16" s="57"/>
      <c r="F16" s="57"/>
    </row>
    <row r="17" spans="1:11" s="82" customFormat="1" ht="30" x14ac:dyDescent="0.25">
      <c r="A17" s="94" t="s">
        <v>370</v>
      </c>
      <c r="B17" s="95" t="s">
        <v>26</v>
      </c>
      <c r="C17" s="95" t="s">
        <v>26</v>
      </c>
      <c r="D17" s="57"/>
      <c r="E17" s="57"/>
      <c r="F17" s="57"/>
    </row>
    <row r="18" spans="1:11" s="47" customFormat="1" ht="14.25" x14ac:dyDescent="0.2">
      <c r="A18" s="92" t="s">
        <v>371</v>
      </c>
      <c r="B18" s="118" t="s">
        <v>26</v>
      </c>
      <c r="C18" s="118" t="s">
        <v>26</v>
      </c>
      <c r="D18" s="93">
        <f>SUM(D20:D28)</f>
        <v>4899819</v>
      </c>
      <c r="E18" s="93">
        <f t="shared" ref="E18:F18" si="3">SUM(E20:E28)</f>
        <v>4265019</v>
      </c>
      <c r="F18" s="93">
        <f t="shared" si="3"/>
        <v>4265019</v>
      </c>
      <c r="H18" s="164">
        <f>D51-D18</f>
        <v>247085.76999999955</v>
      </c>
      <c r="I18" s="163">
        <f>D7-H18</f>
        <v>82197.000000000466</v>
      </c>
      <c r="J18" s="163" t="s">
        <v>745</v>
      </c>
      <c r="K18" s="163"/>
    </row>
    <row r="19" spans="1:11" s="82" customFormat="1" ht="30" x14ac:dyDescent="0.25">
      <c r="A19" s="94" t="s">
        <v>476</v>
      </c>
      <c r="B19" s="95"/>
      <c r="C19" s="95"/>
      <c r="D19" s="57"/>
      <c r="E19" s="57"/>
      <c r="F19" s="57"/>
    </row>
    <row r="20" spans="1:11" s="82" customFormat="1" x14ac:dyDescent="0.25">
      <c r="A20" s="94" t="s">
        <v>363</v>
      </c>
      <c r="B20" s="95" t="s">
        <v>26</v>
      </c>
      <c r="C20" s="95">
        <v>131</v>
      </c>
      <c r="D20" s="57">
        <f>396000+537600+97200</f>
        <v>1030800</v>
      </c>
      <c r="E20" s="57">
        <v>396000</v>
      </c>
      <c r="F20" s="57">
        <v>396000</v>
      </c>
    </row>
    <row r="21" spans="1:11" s="82" customFormat="1" x14ac:dyDescent="0.25">
      <c r="A21" s="94" t="s">
        <v>364</v>
      </c>
      <c r="B21" s="95" t="s">
        <v>26</v>
      </c>
      <c r="C21" s="95">
        <v>121</v>
      </c>
      <c r="D21" s="57"/>
      <c r="E21" s="57"/>
      <c r="F21" s="57"/>
    </row>
    <row r="22" spans="1:11" s="82" customFormat="1" x14ac:dyDescent="0.25">
      <c r="A22" s="94" t="s">
        <v>365</v>
      </c>
      <c r="B22" s="95" t="s">
        <v>26</v>
      </c>
      <c r="C22" s="95">
        <v>134</v>
      </c>
      <c r="D22" s="57">
        <v>135000</v>
      </c>
      <c r="E22" s="57">
        <v>135000</v>
      </c>
      <c r="F22" s="57">
        <v>135000</v>
      </c>
    </row>
    <row r="23" spans="1:11" s="82" customFormat="1" x14ac:dyDescent="0.25">
      <c r="A23" s="94" t="s">
        <v>366</v>
      </c>
      <c r="B23" s="95" t="s">
        <v>26</v>
      </c>
      <c r="C23" s="95">
        <v>131</v>
      </c>
      <c r="D23" s="57">
        <f>2848590+114649</f>
        <v>2963239</v>
      </c>
      <c r="E23" s="57">
        <f t="shared" ref="E23:F23" si="4">2848590+114649</f>
        <v>2963239</v>
      </c>
      <c r="F23" s="57">
        <f t="shared" si="4"/>
        <v>2963239</v>
      </c>
    </row>
    <row r="24" spans="1:11" s="82" customFormat="1" x14ac:dyDescent="0.25">
      <c r="A24" s="94" t="s">
        <v>367</v>
      </c>
      <c r="B24" s="95" t="s">
        <v>26</v>
      </c>
      <c r="C24" s="95">
        <v>135</v>
      </c>
      <c r="D24" s="57"/>
      <c r="E24" s="57"/>
      <c r="F24" s="57"/>
    </row>
    <row r="25" spans="1:11" s="82" customFormat="1" ht="30" x14ac:dyDescent="0.25">
      <c r="A25" s="295" t="s">
        <v>698</v>
      </c>
      <c r="B25" s="95"/>
      <c r="C25" s="95"/>
      <c r="D25" s="57">
        <v>0</v>
      </c>
      <c r="E25" s="57">
        <v>0</v>
      </c>
      <c r="F25" s="57">
        <v>0</v>
      </c>
    </row>
    <row r="26" spans="1:11" s="82" customFormat="1" ht="13.5" customHeight="1" x14ac:dyDescent="0.25">
      <c r="A26" s="94" t="s">
        <v>368</v>
      </c>
      <c r="B26" s="95" t="s">
        <v>26</v>
      </c>
      <c r="C26" s="95">
        <v>155</v>
      </c>
      <c r="D26" s="57">
        <v>770780</v>
      </c>
      <c r="E26" s="57">
        <v>770780</v>
      </c>
      <c r="F26" s="57">
        <v>770780</v>
      </c>
    </row>
    <row r="27" spans="1:11" s="82" customFormat="1" ht="15" customHeight="1" x14ac:dyDescent="0.25">
      <c r="A27" s="94" t="s">
        <v>369</v>
      </c>
      <c r="B27" s="95" t="s">
        <v>26</v>
      </c>
      <c r="C27" s="96" t="s">
        <v>372</v>
      </c>
      <c r="D27" s="57"/>
      <c r="E27" s="57"/>
      <c r="F27" s="57"/>
    </row>
    <row r="28" spans="1:11" s="82" customFormat="1" ht="16.5" customHeight="1" x14ac:dyDescent="0.25">
      <c r="A28" s="94" t="s">
        <v>370</v>
      </c>
      <c r="B28" s="95" t="s">
        <v>26</v>
      </c>
      <c r="C28" s="96" t="s">
        <v>373</v>
      </c>
      <c r="D28" s="57"/>
      <c r="E28" s="57"/>
      <c r="F28" s="57"/>
    </row>
    <row r="29" spans="1:11" s="47" customFormat="1" ht="14.25" x14ac:dyDescent="0.2">
      <c r="A29" s="92" t="s">
        <v>374</v>
      </c>
      <c r="B29" s="118" t="s">
        <v>26</v>
      </c>
      <c r="C29" s="118" t="s">
        <v>26</v>
      </c>
      <c r="D29" s="93">
        <f>SUM(D30:D39)</f>
        <v>0</v>
      </c>
      <c r="E29" s="93">
        <f t="shared" ref="E29:F29" si="5">SUM(E30:E39)</f>
        <v>0</v>
      </c>
      <c r="F29" s="93">
        <f t="shared" si="5"/>
        <v>0</v>
      </c>
      <c r="G29" s="47" t="s">
        <v>257</v>
      </c>
    </row>
    <row r="30" spans="1:11" s="82" customFormat="1" ht="30" x14ac:dyDescent="0.25">
      <c r="A30" s="94" t="s">
        <v>476</v>
      </c>
      <c r="B30" s="95" t="s">
        <v>26</v>
      </c>
      <c r="C30" s="95"/>
      <c r="D30" s="57"/>
      <c r="E30" s="57"/>
      <c r="F30" s="57"/>
    </row>
    <row r="31" spans="1:11" s="82" customFormat="1" x14ac:dyDescent="0.25">
      <c r="A31" s="141" t="s">
        <v>363</v>
      </c>
      <c r="B31" s="95" t="s">
        <v>26</v>
      </c>
      <c r="C31" s="95"/>
      <c r="D31" s="57"/>
      <c r="E31" s="57"/>
      <c r="F31" s="57"/>
    </row>
    <row r="32" spans="1:11" s="82" customFormat="1" x14ac:dyDescent="0.25">
      <c r="A32" s="141" t="s">
        <v>364</v>
      </c>
      <c r="B32" s="95" t="s">
        <v>26</v>
      </c>
      <c r="C32" s="95"/>
      <c r="D32" s="57"/>
      <c r="E32" s="57">
        <f>D32</f>
        <v>0</v>
      </c>
      <c r="F32" s="57">
        <f>D32</f>
        <v>0</v>
      </c>
    </row>
    <row r="33" spans="1:7" s="82" customFormat="1" x14ac:dyDescent="0.25">
      <c r="A33" s="94" t="s">
        <v>365</v>
      </c>
      <c r="B33" s="95" t="s">
        <v>26</v>
      </c>
      <c r="C33" s="95"/>
      <c r="D33" s="57"/>
      <c r="E33" s="57"/>
      <c r="F33" s="57"/>
    </row>
    <row r="34" spans="1:7" s="82" customFormat="1" x14ac:dyDescent="0.25">
      <c r="A34" s="94" t="s">
        <v>366</v>
      </c>
      <c r="B34" s="95" t="s">
        <v>26</v>
      </c>
      <c r="C34" s="95"/>
      <c r="D34" s="57"/>
      <c r="E34" s="57"/>
      <c r="F34" s="57"/>
    </row>
    <row r="35" spans="1:7" s="82" customFormat="1" x14ac:dyDescent="0.25">
      <c r="A35" s="94" t="s">
        <v>367</v>
      </c>
      <c r="B35" s="95" t="s">
        <v>26</v>
      </c>
      <c r="C35" s="95"/>
      <c r="D35" s="57"/>
      <c r="E35" s="57"/>
      <c r="F35" s="57"/>
    </row>
    <row r="36" spans="1:7" s="82" customFormat="1" x14ac:dyDescent="0.25">
      <c r="A36" s="94"/>
      <c r="B36" s="95"/>
      <c r="C36" s="95"/>
      <c r="D36" s="57"/>
      <c r="E36" s="57"/>
      <c r="F36" s="57"/>
    </row>
    <row r="37" spans="1:7" s="82" customFormat="1" ht="13.5" customHeight="1" x14ac:dyDescent="0.25">
      <c r="A37" s="94" t="s">
        <v>368</v>
      </c>
      <c r="B37" s="95" t="s">
        <v>26</v>
      </c>
      <c r="C37" s="95"/>
      <c r="D37" s="57"/>
      <c r="E37" s="57"/>
      <c r="F37" s="57"/>
    </row>
    <row r="38" spans="1:7" s="82" customFormat="1" x14ac:dyDescent="0.25">
      <c r="A38" s="94" t="s">
        <v>369</v>
      </c>
      <c r="B38" s="95" t="s">
        <v>26</v>
      </c>
      <c r="C38" s="95"/>
      <c r="D38" s="57"/>
      <c r="E38" s="57"/>
      <c r="F38" s="57"/>
    </row>
    <row r="39" spans="1:7" s="82" customFormat="1" ht="30" x14ac:dyDescent="0.25">
      <c r="A39" s="94" t="s">
        <v>370</v>
      </c>
      <c r="B39" s="95" t="s">
        <v>26</v>
      </c>
      <c r="C39" s="95"/>
      <c r="D39" s="57"/>
      <c r="E39" s="57"/>
      <c r="F39" s="57"/>
    </row>
    <row r="40" spans="1:7" s="47" customFormat="1" ht="14.25" x14ac:dyDescent="0.2">
      <c r="A40" s="92" t="s">
        <v>375</v>
      </c>
      <c r="B40" s="118" t="s">
        <v>26</v>
      </c>
      <c r="C40" s="118" t="s">
        <v>26</v>
      </c>
      <c r="D40" s="93">
        <f>SUM(D41:D50)</f>
        <v>-82197</v>
      </c>
      <c r="E40" s="93">
        <f t="shared" ref="E40:F40" si="6">SUM(E41:E50)</f>
        <v>-65997</v>
      </c>
      <c r="F40" s="93">
        <f t="shared" si="6"/>
        <v>-65997</v>
      </c>
      <c r="G40" s="47" t="s">
        <v>257</v>
      </c>
    </row>
    <row r="41" spans="1:7" s="82" customFormat="1" ht="30" x14ac:dyDescent="0.25">
      <c r="A41" s="94" t="s">
        <v>476</v>
      </c>
      <c r="B41" s="95" t="s">
        <v>26</v>
      </c>
      <c r="C41" s="95"/>
      <c r="D41" s="57"/>
      <c r="E41" s="57"/>
      <c r="F41" s="57"/>
    </row>
    <row r="42" spans="1:7" s="82" customFormat="1" x14ac:dyDescent="0.25">
      <c r="A42" s="141" t="s">
        <v>363</v>
      </c>
      <c r="B42" s="95" t="s">
        <v>26</v>
      </c>
      <c r="C42" s="95"/>
      <c r="D42" s="57">
        <f>-65997-16200</f>
        <v>-82197</v>
      </c>
      <c r="E42" s="57">
        <v>-65997</v>
      </c>
      <c r="F42" s="57">
        <v>-65997</v>
      </c>
    </row>
    <row r="43" spans="1:7" s="82" customFormat="1" x14ac:dyDescent="0.25">
      <c r="A43" s="141" t="s">
        <v>364</v>
      </c>
      <c r="B43" s="95" t="s">
        <v>26</v>
      </c>
      <c r="C43" s="95"/>
      <c r="D43" s="57"/>
      <c r="E43" s="57"/>
      <c r="F43" s="57"/>
    </row>
    <row r="44" spans="1:7" s="82" customFormat="1" x14ac:dyDescent="0.25">
      <c r="A44" s="94" t="s">
        <v>365</v>
      </c>
      <c r="B44" s="95" t="s">
        <v>26</v>
      </c>
      <c r="C44" s="95"/>
      <c r="D44" s="57"/>
      <c r="E44" s="57"/>
      <c r="F44" s="57"/>
    </row>
    <row r="45" spans="1:7" s="82" customFormat="1" x14ac:dyDescent="0.25">
      <c r="A45" s="94" t="s">
        <v>366</v>
      </c>
      <c r="B45" s="95" t="s">
        <v>26</v>
      </c>
      <c r="C45" s="95"/>
      <c r="D45" s="57"/>
      <c r="E45" s="57"/>
      <c r="F45" s="57"/>
    </row>
    <row r="46" spans="1:7" s="82" customFormat="1" x14ac:dyDescent="0.25">
      <c r="A46" s="94" t="s">
        <v>367</v>
      </c>
      <c r="B46" s="95" t="s">
        <v>26</v>
      </c>
      <c r="C46" s="95"/>
      <c r="D46" s="57"/>
      <c r="E46" s="57"/>
      <c r="F46" s="57"/>
    </row>
    <row r="47" spans="1:7" s="82" customFormat="1" x14ac:dyDescent="0.25">
      <c r="A47" s="94"/>
      <c r="B47" s="95"/>
      <c r="C47" s="95"/>
      <c r="D47" s="57"/>
      <c r="E47" s="57"/>
      <c r="F47" s="57"/>
    </row>
    <row r="48" spans="1:7" s="82" customFormat="1" ht="13.5" customHeight="1" x14ac:dyDescent="0.25">
      <c r="A48" s="94" t="s">
        <v>368</v>
      </c>
      <c r="B48" s="95" t="s">
        <v>26</v>
      </c>
      <c r="C48" s="95"/>
      <c r="D48" s="57"/>
      <c r="E48" s="57"/>
      <c r="F48" s="57"/>
    </row>
    <row r="49" spans="1:8" s="82" customFormat="1" x14ac:dyDescent="0.25">
      <c r="A49" s="94" t="s">
        <v>369</v>
      </c>
      <c r="B49" s="95" t="s">
        <v>26</v>
      </c>
      <c r="C49" s="95"/>
      <c r="D49" s="57"/>
      <c r="E49" s="57"/>
      <c r="F49" s="57"/>
    </row>
    <row r="50" spans="1:8" s="82" customFormat="1" ht="30" x14ac:dyDescent="0.25">
      <c r="A50" s="94" t="s">
        <v>370</v>
      </c>
      <c r="B50" s="95" t="s">
        <v>26</v>
      </c>
      <c r="C50" s="95"/>
      <c r="D50" s="57"/>
      <c r="E50" s="57"/>
      <c r="F50" s="57"/>
    </row>
    <row r="51" spans="1:8" s="47" customFormat="1" ht="14.25" x14ac:dyDescent="0.2">
      <c r="A51" s="156" t="s">
        <v>53</v>
      </c>
      <c r="B51" s="157" t="s">
        <v>26</v>
      </c>
      <c r="C51" s="157" t="s">
        <v>26</v>
      </c>
      <c r="D51" s="158">
        <f>D52+D53+D54+D55+D56+D57+D58+D63+D64+D80+D100+D101+D102+D103+D104+D119+D389</f>
        <v>5146904.7699999996</v>
      </c>
      <c r="E51" s="158">
        <f t="shared" ref="E51:F51" si="7">E52+E53+E54+E55+E56+E57+E58+E63+E64+E80+E100+E101+E102+E103+E104+E119+E389</f>
        <v>4199022</v>
      </c>
      <c r="F51" s="158">
        <f t="shared" si="7"/>
        <v>4199022</v>
      </c>
      <c r="G51" s="97" t="s">
        <v>376</v>
      </c>
    </row>
    <row r="52" spans="1:8" s="40" customFormat="1" ht="14.25" x14ac:dyDescent="0.2">
      <c r="A52" s="62" t="s">
        <v>279</v>
      </c>
      <c r="B52" s="63" t="s">
        <v>281</v>
      </c>
      <c r="C52" s="63" t="s">
        <v>282</v>
      </c>
      <c r="D52" s="64">
        <f>D133</f>
        <v>0</v>
      </c>
      <c r="E52" s="64">
        <f t="shared" ref="E52:F52" si="8">E133</f>
        <v>0</v>
      </c>
      <c r="F52" s="64">
        <f t="shared" si="8"/>
        <v>0</v>
      </c>
      <c r="G52" s="66"/>
    </row>
    <row r="53" spans="1:8" s="40" customFormat="1" ht="14.25" x14ac:dyDescent="0.2">
      <c r="A53" s="62" t="s">
        <v>283</v>
      </c>
      <c r="B53" s="63" t="s">
        <v>281</v>
      </c>
      <c r="C53" s="63" t="s">
        <v>284</v>
      </c>
      <c r="D53" s="64">
        <f>D134</f>
        <v>0</v>
      </c>
      <c r="E53" s="64">
        <f t="shared" ref="E53:F53" si="9">E134</f>
        <v>0</v>
      </c>
      <c r="F53" s="64">
        <f t="shared" si="9"/>
        <v>0</v>
      </c>
      <c r="G53" s="66"/>
    </row>
    <row r="54" spans="1:8" s="140" customFormat="1" ht="14.25" x14ac:dyDescent="0.2">
      <c r="A54" s="62" t="s">
        <v>291</v>
      </c>
      <c r="B54" s="63" t="s">
        <v>288</v>
      </c>
      <c r="C54" s="63" t="s">
        <v>284</v>
      </c>
      <c r="D54" s="64">
        <f>D135</f>
        <v>0</v>
      </c>
      <c r="E54" s="64">
        <f t="shared" ref="E54:F54" si="10">E135</f>
        <v>0</v>
      </c>
      <c r="F54" s="64">
        <f t="shared" si="10"/>
        <v>0</v>
      </c>
      <c r="G54" s="139"/>
      <c r="H54" s="139"/>
    </row>
    <row r="55" spans="1:8" s="40" customFormat="1" ht="14.25" x14ac:dyDescent="0.2">
      <c r="A55" s="62" t="s">
        <v>292</v>
      </c>
      <c r="B55" s="63" t="s">
        <v>294</v>
      </c>
      <c r="C55" s="63" t="s">
        <v>295</v>
      </c>
      <c r="D55" s="64">
        <f>D136</f>
        <v>0</v>
      </c>
      <c r="E55" s="64">
        <f t="shared" ref="E55:F55" si="11">E136</f>
        <v>0</v>
      </c>
      <c r="F55" s="64">
        <f t="shared" si="11"/>
        <v>0</v>
      </c>
      <c r="G55" s="66"/>
    </row>
    <row r="56" spans="1:8" s="41" customFormat="1" ht="14.25" x14ac:dyDescent="0.2">
      <c r="A56" s="62" t="s">
        <v>296</v>
      </c>
      <c r="B56" s="63" t="s">
        <v>297</v>
      </c>
      <c r="C56" s="63" t="s">
        <v>298</v>
      </c>
      <c r="D56" s="64">
        <f>D137+D212+D288+D363+D364</f>
        <v>1000</v>
      </c>
      <c r="E56" s="64">
        <f t="shared" ref="E56:F56" si="12">E137+E212+E288+E363+E364</f>
        <v>1000</v>
      </c>
      <c r="F56" s="64">
        <f t="shared" si="12"/>
        <v>1000</v>
      </c>
      <c r="G56" s="265"/>
    </row>
    <row r="57" spans="1:8" s="140" customFormat="1" ht="14.25" x14ac:dyDescent="0.2">
      <c r="A57" s="62" t="s">
        <v>302</v>
      </c>
      <c r="B57" s="63" t="s">
        <v>297</v>
      </c>
      <c r="C57" s="63" t="s">
        <v>303</v>
      </c>
      <c r="D57" s="64">
        <f>D138+D213+D289</f>
        <v>0</v>
      </c>
      <c r="E57" s="64">
        <f>E138+E213+E289</f>
        <v>0</v>
      </c>
      <c r="F57" s="64">
        <f>F138+F213+F289</f>
        <v>0</v>
      </c>
      <c r="H57" s="139"/>
    </row>
    <row r="58" spans="1:8" s="40" customFormat="1" ht="28.5" x14ac:dyDescent="0.2">
      <c r="A58" s="62" t="s">
        <v>410</v>
      </c>
      <c r="B58" s="63" t="s">
        <v>752</v>
      </c>
      <c r="C58" s="63" t="s">
        <v>305</v>
      </c>
      <c r="D58" s="64">
        <f>SUM(D59:D62)</f>
        <v>103092</v>
      </c>
      <c r="E58" s="64">
        <f t="shared" ref="E58:F58" si="13">SUM(E59:E62)</f>
        <v>39612</v>
      </c>
      <c r="F58" s="64">
        <f t="shared" si="13"/>
        <v>39612</v>
      </c>
      <c r="G58" s="66"/>
      <c r="H58" s="66"/>
    </row>
    <row r="59" spans="1:8" s="40" customFormat="1" x14ac:dyDescent="0.25">
      <c r="A59" s="67" t="s">
        <v>748</v>
      </c>
      <c r="B59" s="68" t="s">
        <v>749</v>
      </c>
      <c r="C59" s="56" t="s">
        <v>305</v>
      </c>
      <c r="D59" s="57">
        <f>D140+D215+D291</f>
        <v>67008</v>
      </c>
      <c r="E59" s="57">
        <f t="shared" ref="E59:F59" si="14">E140+E215+E291</f>
        <v>25746</v>
      </c>
      <c r="F59" s="57">
        <f t="shared" si="14"/>
        <v>25746</v>
      </c>
      <c r="G59" s="66"/>
      <c r="H59" s="66"/>
    </row>
    <row r="60" spans="1:8" s="40" customFormat="1" x14ac:dyDescent="0.25">
      <c r="A60" s="67" t="s">
        <v>750</v>
      </c>
      <c r="B60" s="68" t="s">
        <v>749</v>
      </c>
      <c r="C60" s="56" t="s">
        <v>305</v>
      </c>
      <c r="D60" s="57">
        <f>D141+D216+D292</f>
        <v>21653</v>
      </c>
      <c r="E60" s="57">
        <f>E141+E216+E292</f>
        <v>8322</v>
      </c>
      <c r="F60" s="57">
        <f>F141+F216+F292</f>
        <v>8322</v>
      </c>
      <c r="G60" s="66"/>
      <c r="H60" s="66"/>
    </row>
    <row r="61" spans="1:8" s="40" customFormat="1" x14ac:dyDescent="0.25">
      <c r="A61" s="67" t="s">
        <v>751</v>
      </c>
      <c r="B61" s="68" t="s">
        <v>297</v>
      </c>
      <c r="C61" s="56" t="s">
        <v>305</v>
      </c>
      <c r="D61" s="57">
        <f>D142+D217+D293</f>
        <v>14431</v>
      </c>
      <c r="E61" s="57">
        <f>E142+E217+E293</f>
        <v>5544</v>
      </c>
      <c r="F61" s="57">
        <f>F142+F217+F293</f>
        <v>5544</v>
      </c>
      <c r="G61" s="66"/>
      <c r="H61" s="66"/>
    </row>
    <row r="62" spans="1:8" s="40" customFormat="1" x14ac:dyDescent="0.25">
      <c r="A62" s="67" t="s">
        <v>748</v>
      </c>
      <c r="B62" s="68" t="s">
        <v>297</v>
      </c>
      <c r="C62" s="56" t="s">
        <v>305</v>
      </c>
      <c r="D62" s="57">
        <f>D143+D218+D294</f>
        <v>0</v>
      </c>
      <c r="E62" s="57">
        <f t="shared" ref="E62:F62" si="15">E143+E218+E294</f>
        <v>0</v>
      </c>
      <c r="F62" s="57">
        <f t="shared" si="15"/>
        <v>0</v>
      </c>
      <c r="G62" s="66"/>
      <c r="H62" s="66"/>
    </row>
    <row r="63" spans="1:8" s="140" customFormat="1" ht="14.25" x14ac:dyDescent="0.2">
      <c r="A63" s="136" t="s">
        <v>307</v>
      </c>
      <c r="B63" s="137" t="s">
        <v>297</v>
      </c>
      <c r="C63" s="63" t="s">
        <v>308</v>
      </c>
      <c r="D63" s="64">
        <f t="shared" ref="D63:F63" si="16">D144+D219+D295</f>
        <v>0</v>
      </c>
      <c r="E63" s="64">
        <f t="shared" si="16"/>
        <v>0</v>
      </c>
      <c r="F63" s="64">
        <f t="shared" si="16"/>
        <v>0</v>
      </c>
      <c r="G63" s="139"/>
      <c r="H63" s="139"/>
    </row>
    <row r="64" spans="1:8" s="40" customFormat="1" ht="18" customHeight="1" x14ac:dyDescent="0.2">
      <c r="A64" s="62" t="s">
        <v>309</v>
      </c>
      <c r="B64" s="63" t="s">
        <v>297</v>
      </c>
      <c r="C64" s="63" t="s">
        <v>310</v>
      </c>
      <c r="D64" s="65">
        <f>SUM(D65:D79)</f>
        <v>18480</v>
      </c>
      <c r="E64" s="65">
        <f t="shared" ref="E64:F64" si="17">SUM(E65:E79)</f>
        <v>18480</v>
      </c>
      <c r="F64" s="65">
        <f t="shared" si="17"/>
        <v>18480</v>
      </c>
      <c r="G64" s="66"/>
      <c r="H64" s="66"/>
    </row>
    <row r="65" spans="1:8" s="43" customFormat="1" ht="15" customHeight="1" x14ac:dyDescent="0.25">
      <c r="A65" s="55" t="s">
        <v>688</v>
      </c>
      <c r="B65" s="56" t="s">
        <v>297</v>
      </c>
      <c r="C65" s="56" t="s">
        <v>310</v>
      </c>
      <c r="D65" s="57">
        <f>D365+D366</f>
        <v>0</v>
      </c>
      <c r="E65" s="57">
        <f t="shared" ref="E65:F65" si="18">E365+E366</f>
        <v>0</v>
      </c>
      <c r="F65" s="57">
        <f t="shared" si="18"/>
        <v>0</v>
      </c>
      <c r="G65" s="44"/>
      <c r="H65" s="44"/>
    </row>
    <row r="66" spans="1:8" s="69" customFormat="1" ht="15" customHeight="1" x14ac:dyDescent="0.25">
      <c r="A66" s="55" t="s">
        <v>477</v>
      </c>
      <c r="B66" s="56" t="s">
        <v>297</v>
      </c>
      <c r="C66" s="56" t="s">
        <v>310</v>
      </c>
      <c r="D66" s="57">
        <f t="shared" ref="D66:F67" si="19">D147+D222+D298</f>
        <v>0</v>
      </c>
      <c r="E66" s="57">
        <f t="shared" si="19"/>
        <v>0</v>
      </c>
      <c r="F66" s="57">
        <f t="shared" si="19"/>
        <v>0</v>
      </c>
      <c r="H66" s="70"/>
    </row>
    <row r="67" spans="1:8" ht="15" customHeight="1" x14ac:dyDescent="0.25">
      <c r="A67" s="55" t="s">
        <v>412</v>
      </c>
      <c r="B67" s="56" t="s">
        <v>297</v>
      </c>
      <c r="C67" s="56" t="s">
        <v>310</v>
      </c>
      <c r="D67" s="57">
        <f t="shared" si="19"/>
        <v>4500</v>
      </c>
      <c r="E67" s="57">
        <f t="shared" si="19"/>
        <v>4500</v>
      </c>
      <c r="F67" s="57">
        <f t="shared" si="19"/>
        <v>4500</v>
      </c>
      <c r="G67" s="59"/>
      <c r="H67" s="59"/>
    </row>
    <row r="68" spans="1:8" ht="15" customHeight="1" x14ac:dyDescent="0.25">
      <c r="A68" s="55" t="s">
        <v>413</v>
      </c>
      <c r="B68" s="56" t="s">
        <v>297</v>
      </c>
      <c r="C68" s="56" t="s">
        <v>310</v>
      </c>
      <c r="D68" s="57">
        <f>D149+D224+D299</f>
        <v>0</v>
      </c>
      <c r="E68" s="57">
        <f>E149+E224+E299</f>
        <v>0</v>
      </c>
      <c r="F68" s="57">
        <f>F149+F224+F299</f>
        <v>0</v>
      </c>
      <c r="G68" s="59"/>
      <c r="H68" s="59"/>
    </row>
    <row r="69" spans="1:8" ht="15" customHeight="1" x14ac:dyDescent="0.25">
      <c r="A69" s="55" t="s">
        <v>414</v>
      </c>
      <c r="B69" s="56" t="s">
        <v>297</v>
      </c>
      <c r="C69" s="56" t="s">
        <v>310</v>
      </c>
      <c r="D69" s="57">
        <f t="shared" ref="D69:F78" si="20">D150+D225+D301</f>
        <v>4980</v>
      </c>
      <c r="E69" s="57">
        <f t="shared" si="20"/>
        <v>4980</v>
      </c>
      <c r="F69" s="57">
        <f t="shared" si="20"/>
        <v>4980</v>
      </c>
      <c r="H69" s="59"/>
    </row>
    <row r="70" spans="1:8" ht="15" customHeight="1" x14ac:dyDescent="0.25">
      <c r="A70" s="55" t="s">
        <v>415</v>
      </c>
      <c r="B70" s="56" t="s">
        <v>297</v>
      </c>
      <c r="C70" s="56" t="s">
        <v>310</v>
      </c>
      <c r="D70" s="57">
        <f t="shared" si="20"/>
        <v>0</v>
      </c>
      <c r="E70" s="57">
        <f t="shared" si="20"/>
        <v>0</v>
      </c>
      <c r="F70" s="57">
        <f t="shared" si="20"/>
        <v>0</v>
      </c>
      <c r="H70" s="59"/>
    </row>
    <row r="71" spans="1:8" ht="15" customHeight="1" x14ac:dyDescent="0.25">
      <c r="A71" s="55" t="s">
        <v>416</v>
      </c>
      <c r="B71" s="56" t="s">
        <v>297</v>
      </c>
      <c r="C71" s="56" t="s">
        <v>310</v>
      </c>
      <c r="D71" s="57">
        <f t="shared" si="20"/>
        <v>0</v>
      </c>
      <c r="E71" s="57">
        <f t="shared" si="20"/>
        <v>0</v>
      </c>
      <c r="F71" s="57">
        <f t="shared" si="20"/>
        <v>0</v>
      </c>
      <c r="H71" s="59"/>
    </row>
    <row r="72" spans="1:8" ht="15" customHeight="1" x14ac:dyDescent="0.25">
      <c r="A72" s="55" t="s">
        <v>417</v>
      </c>
      <c r="B72" s="56" t="s">
        <v>297</v>
      </c>
      <c r="C72" s="56" t="s">
        <v>310</v>
      </c>
      <c r="D72" s="57">
        <f t="shared" si="20"/>
        <v>0</v>
      </c>
      <c r="E72" s="57">
        <f t="shared" si="20"/>
        <v>0</v>
      </c>
      <c r="F72" s="57">
        <f t="shared" si="20"/>
        <v>0</v>
      </c>
      <c r="H72" s="59"/>
    </row>
    <row r="73" spans="1:8" ht="15" customHeight="1" x14ac:dyDescent="0.25">
      <c r="A73" s="55" t="s">
        <v>418</v>
      </c>
      <c r="B73" s="56" t="s">
        <v>297</v>
      </c>
      <c r="C73" s="56" t="s">
        <v>310</v>
      </c>
      <c r="D73" s="57">
        <f t="shared" si="20"/>
        <v>0</v>
      </c>
      <c r="E73" s="57">
        <f t="shared" si="20"/>
        <v>0</v>
      </c>
      <c r="F73" s="57">
        <f t="shared" si="20"/>
        <v>0</v>
      </c>
      <c r="H73" s="59"/>
    </row>
    <row r="74" spans="1:8" ht="15" customHeight="1" x14ac:dyDescent="0.25">
      <c r="A74" s="55" t="s">
        <v>419</v>
      </c>
      <c r="B74" s="56" t="s">
        <v>297</v>
      </c>
      <c r="C74" s="56" t="s">
        <v>310</v>
      </c>
      <c r="D74" s="57">
        <f t="shared" si="20"/>
        <v>9000</v>
      </c>
      <c r="E74" s="57">
        <f t="shared" si="20"/>
        <v>9000</v>
      </c>
      <c r="F74" s="57">
        <f t="shared" si="20"/>
        <v>9000</v>
      </c>
      <c r="H74" s="59"/>
    </row>
    <row r="75" spans="1:8" ht="15" customHeight="1" x14ac:dyDescent="0.25">
      <c r="A75" s="55" t="s">
        <v>420</v>
      </c>
      <c r="B75" s="56" t="s">
        <v>297</v>
      </c>
      <c r="C75" s="56" t="s">
        <v>310</v>
      </c>
      <c r="D75" s="57">
        <f t="shared" si="20"/>
        <v>0</v>
      </c>
      <c r="E75" s="57">
        <f t="shared" si="20"/>
        <v>0</v>
      </c>
      <c r="F75" s="57">
        <f t="shared" si="20"/>
        <v>0</v>
      </c>
      <c r="H75" s="59"/>
    </row>
    <row r="76" spans="1:8" ht="15" customHeight="1" x14ac:dyDescent="0.25">
      <c r="A76" s="55" t="s">
        <v>421</v>
      </c>
      <c r="B76" s="56" t="s">
        <v>297</v>
      </c>
      <c r="C76" s="56" t="s">
        <v>310</v>
      </c>
      <c r="D76" s="57">
        <f t="shared" si="20"/>
        <v>0</v>
      </c>
      <c r="E76" s="57">
        <f t="shared" si="20"/>
        <v>0</v>
      </c>
      <c r="F76" s="57">
        <f t="shared" si="20"/>
        <v>0</v>
      </c>
      <c r="H76" s="59"/>
    </row>
    <row r="77" spans="1:8" ht="15" customHeight="1" x14ac:dyDescent="0.25">
      <c r="A77" s="55" t="s">
        <v>422</v>
      </c>
      <c r="B77" s="56" t="s">
        <v>297</v>
      </c>
      <c r="C77" s="56" t="s">
        <v>310</v>
      </c>
      <c r="D77" s="57">
        <f t="shared" si="20"/>
        <v>0</v>
      </c>
      <c r="E77" s="57">
        <f t="shared" si="20"/>
        <v>0</v>
      </c>
      <c r="F77" s="57">
        <f t="shared" si="20"/>
        <v>0</v>
      </c>
      <c r="H77" s="59"/>
    </row>
    <row r="78" spans="1:8" ht="15" customHeight="1" x14ac:dyDescent="0.25">
      <c r="A78" s="55" t="s">
        <v>423</v>
      </c>
      <c r="B78" s="56" t="s">
        <v>297</v>
      </c>
      <c r="C78" s="56" t="s">
        <v>310</v>
      </c>
      <c r="D78" s="57">
        <f t="shared" si="20"/>
        <v>0</v>
      </c>
      <c r="E78" s="57">
        <f t="shared" si="20"/>
        <v>0</v>
      </c>
      <c r="F78" s="57">
        <f t="shared" si="20"/>
        <v>0</v>
      </c>
      <c r="H78" s="59"/>
    </row>
    <row r="79" spans="1:8" ht="15" customHeight="1" x14ac:dyDescent="0.25">
      <c r="A79" s="55" t="s">
        <v>480</v>
      </c>
      <c r="B79" s="56" t="s">
        <v>297</v>
      </c>
      <c r="C79" s="56" t="s">
        <v>310</v>
      </c>
      <c r="D79" s="57">
        <f>D160+D235+D311</f>
        <v>0</v>
      </c>
      <c r="E79" s="57">
        <f t="shared" ref="E79:F79" si="21">E160+E235+E311</f>
        <v>0</v>
      </c>
      <c r="F79" s="57">
        <f t="shared" si="21"/>
        <v>0</v>
      </c>
      <c r="H79" s="59"/>
    </row>
    <row r="80" spans="1:8" s="40" customFormat="1" ht="18" customHeight="1" x14ac:dyDescent="0.2">
      <c r="A80" s="62" t="s">
        <v>322</v>
      </c>
      <c r="B80" s="63" t="s">
        <v>297</v>
      </c>
      <c r="C80" s="63" t="s">
        <v>290</v>
      </c>
      <c r="D80" s="65">
        <f>SUM(D81:D99)</f>
        <v>700848</v>
      </c>
      <c r="E80" s="65">
        <f t="shared" ref="E80:F80" si="22">SUM(E81:E99)</f>
        <v>289696</v>
      </c>
      <c r="F80" s="65">
        <f t="shared" si="22"/>
        <v>289696</v>
      </c>
      <c r="G80" s="66"/>
      <c r="H80" s="66"/>
    </row>
    <row r="81" spans="1:8" s="61" customFormat="1" x14ac:dyDescent="0.25">
      <c r="A81" s="55" t="s">
        <v>424</v>
      </c>
      <c r="B81" s="56" t="s">
        <v>297</v>
      </c>
      <c r="C81" s="56" t="s">
        <v>290</v>
      </c>
      <c r="D81" s="57">
        <f>D162+D237+D313+D380</f>
        <v>61948</v>
      </c>
      <c r="E81" s="57">
        <f t="shared" ref="E81:F81" si="23">E162+E237+E313+E380</f>
        <v>53696</v>
      </c>
      <c r="F81" s="57">
        <f t="shared" si="23"/>
        <v>53696</v>
      </c>
      <c r="G81" s="45"/>
      <c r="H81" s="59"/>
    </row>
    <row r="82" spans="1:8" s="238" customFormat="1" x14ac:dyDescent="0.25">
      <c r="A82" s="55" t="s">
        <v>688</v>
      </c>
      <c r="B82" s="56" t="s">
        <v>297</v>
      </c>
      <c r="C82" s="56" t="s">
        <v>290</v>
      </c>
      <c r="D82" s="57">
        <f>D367+D368</f>
        <v>0</v>
      </c>
      <c r="E82" s="57">
        <f t="shared" ref="E82:F82" si="24">E367+E368</f>
        <v>0</v>
      </c>
      <c r="F82" s="57">
        <f t="shared" si="24"/>
        <v>0</v>
      </c>
      <c r="G82" s="43"/>
      <c r="H82" s="44"/>
    </row>
    <row r="83" spans="1:8" ht="14.25" customHeight="1" x14ac:dyDescent="0.25">
      <c r="A83" s="55" t="s">
        <v>425</v>
      </c>
      <c r="B83" s="56" t="s">
        <v>297</v>
      </c>
      <c r="C83" s="56" t="s">
        <v>290</v>
      </c>
      <c r="D83" s="57">
        <f t="shared" ref="D83:F98" si="25">D163+D238+D314</f>
        <v>4500</v>
      </c>
      <c r="E83" s="57">
        <f t="shared" si="25"/>
        <v>4500</v>
      </c>
      <c r="F83" s="57">
        <f t="shared" si="25"/>
        <v>4500</v>
      </c>
      <c r="H83" s="59"/>
    </row>
    <row r="84" spans="1:8" ht="14.25" customHeight="1" x14ac:dyDescent="0.25">
      <c r="A84" s="55" t="s">
        <v>426</v>
      </c>
      <c r="B84" s="56" t="s">
        <v>297</v>
      </c>
      <c r="C84" s="56" t="s">
        <v>290</v>
      </c>
      <c r="D84" s="57">
        <f t="shared" si="25"/>
        <v>0</v>
      </c>
      <c r="E84" s="57">
        <f t="shared" si="25"/>
        <v>0</v>
      </c>
      <c r="F84" s="57">
        <f t="shared" si="25"/>
        <v>0</v>
      </c>
      <c r="H84" s="59"/>
    </row>
    <row r="85" spans="1:8" ht="14.25" customHeight="1" x14ac:dyDescent="0.25">
      <c r="A85" s="55" t="s">
        <v>427</v>
      </c>
      <c r="B85" s="56" t="s">
        <v>297</v>
      </c>
      <c r="C85" s="56" t="s">
        <v>290</v>
      </c>
      <c r="D85" s="57">
        <f t="shared" si="25"/>
        <v>0</v>
      </c>
      <c r="E85" s="57">
        <f t="shared" si="25"/>
        <v>0</v>
      </c>
      <c r="F85" s="57">
        <f t="shared" si="25"/>
        <v>0</v>
      </c>
      <c r="H85" s="59"/>
    </row>
    <row r="86" spans="1:8" ht="14.25" customHeight="1" x14ac:dyDescent="0.25">
      <c r="A86" s="55" t="s">
        <v>428</v>
      </c>
      <c r="B86" s="56" t="s">
        <v>297</v>
      </c>
      <c r="C86" s="56" t="s">
        <v>290</v>
      </c>
      <c r="D86" s="57">
        <f t="shared" si="25"/>
        <v>0</v>
      </c>
      <c r="E86" s="57">
        <f t="shared" si="25"/>
        <v>0</v>
      </c>
      <c r="F86" s="57">
        <f t="shared" si="25"/>
        <v>0</v>
      </c>
      <c r="H86" s="59"/>
    </row>
    <row r="87" spans="1:8" ht="14.25" customHeight="1" x14ac:dyDescent="0.25">
      <c r="A87" s="55" t="s">
        <v>429</v>
      </c>
      <c r="B87" s="56" t="s">
        <v>297</v>
      </c>
      <c r="C87" s="56" t="s">
        <v>290</v>
      </c>
      <c r="D87" s="57">
        <f t="shared" si="25"/>
        <v>2000</v>
      </c>
      <c r="E87" s="57">
        <f t="shared" si="25"/>
        <v>2000</v>
      </c>
      <c r="F87" s="57">
        <f t="shared" si="25"/>
        <v>2000</v>
      </c>
      <c r="H87" s="59"/>
    </row>
    <row r="88" spans="1:8" ht="14.25" customHeight="1" x14ac:dyDescent="0.25">
      <c r="A88" s="55" t="s">
        <v>430</v>
      </c>
      <c r="B88" s="56" t="s">
        <v>297</v>
      </c>
      <c r="C88" s="56" t="s">
        <v>290</v>
      </c>
      <c r="D88" s="57">
        <f t="shared" si="25"/>
        <v>2000</v>
      </c>
      <c r="E88" s="57">
        <f t="shared" si="25"/>
        <v>2000</v>
      </c>
      <c r="F88" s="57">
        <f t="shared" si="25"/>
        <v>2000</v>
      </c>
      <c r="H88" s="59"/>
    </row>
    <row r="89" spans="1:8" ht="14.25" customHeight="1" x14ac:dyDescent="0.25">
      <c r="A89" s="55" t="s">
        <v>431</v>
      </c>
      <c r="B89" s="56" t="s">
        <v>297</v>
      </c>
      <c r="C89" s="56" t="s">
        <v>290</v>
      </c>
      <c r="D89" s="57">
        <f t="shared" si="25"/>
        <v>0</v>
      </c>
      <c r="E89" s="57">
        <f t="shared" si="25"/>
        <v>0</v>
      </c>
      <c r="F89" s="57">
        <f t="shared" si="25"/>
        <v>0</v>
      </c>
      <c r="H89" s="59"/>
    </row>
    <row r="90" spans="1:8" ht="14.25" customHeight="1" x14ac:dyDescent="0.25">
      <c r="A90" s="55" t="s">
        <v>432</v>
      </c>
      <c r="B90" s="56" t="s">
        <v>297</v>
      </c>
      <c r="C90" s="56" t="s">
        <v>290</v>
      </c>
      <c r="D90" s="57">
        <f t="shared" si="25"/>
        <v>0</v>
      </c>
      <c r="E90" s="57">
        <f t="shared" si="25"/>
        <v>0</v>
      </c>
      <c r="F90" s="57">
        <f t="shared" si="25"/>
        <v>0</v>
      </c>
      <c r="H90" s="59"/>
    </row>
    <row r="91" spans="1:8" ht="14.25" customHeight="1" x14ac:dyDescent="0.25">
      <c r="A91" s="55" t="s">
        <v>433</v>
      </c>
      <c r="B91" s="56" t="s">
        <v>297</v>
      </c>
      <c r="C91" s="56" t="s">
        <v>290</v>
      </c>
      <c r="D91" s="57">
        <f t="shared" si="25"/>
        <v>0</v>
      </c>
      <c r="E91" s="57">
        <f t="shared" si="25"/>
        <v>0</v>
      </c>
      <c r="F91" s="57">
        <f t="shared" si="25"/>
        <v>0</v>
      </c>
      <c r="H91" s="59"/>
    </row>
    <row r="92" spans="1:8" x14ac:dyDescent="0.25">
      <c r="A92" s="55" t="s">
        <v>434</v>
      </c>
      <c r="B92" s="56" t="s">
        <v>297</v>
      </c>
      <c r="C92" s="56" t="s">
        <v>290</v>
      </c>
      <c r="D92" s="57">
        <f t="shared" si="25"/>
        <v>0</v>
      </c>
      <c r="E92" s="57">
        <f t="shared" si="25"/>
        <v>0</v>
      </c>
      <c r="F92" s="57">
        <f t="shared" si="25"/>
        <v>0</v>
      </c>
      <c r="H92" s="59"/>
    </row>
    <row r="93" spans="1:8" s="61" customFormat="1" x14ac:dyDescent="0.25">
      <c r="A93" s="55" t="s">
        <v>435</v>
      </c>
      <c r="B93" s="56" t="s">
        <v>297</v>
      </c>
      <c r="C93" s="56" t="s">
        <v>290</v>
      </c>
      <c r="D93" s="57">
        <f t="shared" si="25"/>
        <v>0</v>
      </c>
      <c r="E93" s="57">
        <f t="shared" si="25"/>
        <v>0</v>
      </c>
      <c r="F93" s="57">
        <f t="shared" si="25"/>
        <v>0</v>
      </c>
      <c r="G93" s="60"/>
      <c r="H93" s="60"/>
    </row>
    <row r="94" spans="1:8" s="61" customFormat="1" x14ac:dyDescent="0.25">
      <c r="A94" s="55" t="s">
        <v>436</v>
      </c>
      <c r="B94" s="56" t="s">
        <v>297</v>
      </c>
      <c r="C94" s="56" t="s">
        <v>290</v>
      </c>
      <c r="D94" s="57">
        <f t="shared" si="25"/>
        <v>2500</v>
      </c>
      <c r="E94" s="57">
        <f t="shared" si="25"/>
        <v>2500</v>
      </c>
      <c r="F94" s="57">
        <f t="shared" si="25"/>
        <v>2500</v>
      </c>
      <c r="G94" s="60"/>
      <c r="H94" s="60"/>
    </row>
    <row r="95" spans="1:8" s="61" customFormat="1" x14ac:dyDescent="0.25">
      <c r="A95" s="55" t="s">
        <v>437</v>
      </c>
      <c r="B95" s="56" t="s">
        <v>297</v>
      </c>
      <c r="C95" s="56" t="s">
        <v>290</v>
      </c>
      <c r="D95" s="57">
        <f t="shared" si="25"/>
        <v>0</v>
      </c>
      <c r="E95" s="57">
        <f t="shared" si="25"/>
        <v>0</v>
      </c>
      <c r="F95" s="57">
        <f t="shared" si="25"/>
        <v>0</v>
      </c>
      <c r="G95" s="60"/>
      <c r="H95" s="60"/>
    </row>
    <row r="96" spans="1:8" s="61" customFormat="1" ht="30" x14ac:dyDescent="0.25">
      <c r="A96" s="55" t="s">
        <v>465</v>
      </c>
      <c r="B96" s="56" t="s">
        <v>297</v>
      </c>
      <c r="C96" s="56" t="s">
        <v>290</v>
      </c>
      <c r="D96" s="57">
        <f t="shared" si="25"/>
        <v>51540</v>
      </c>
      <c r="E96" s="57">
        <f t="shared" si="25"/>
        <v>19800</v>
      </c>
      <c r="F96" s="57">
        <f t="shared" si="25"/>
        <v>19800</v>
      </c>
      <c r="G96" s="60"/>
      <c r="H96" s="60"/>
    </row>
    <row r="97" spans="1:8" s="61" customFormat="1" x14ac:dyDescent="0.25">
      <c r="A97" s="55" t="s">
        <v>467</v>
      </c>
      <c r="B97" s="56" t="s">
        <v>297</v>
      </c>
      <c r="C97" s="56" t="s">
        <v>290</v>
      </c>
      <c r="D97" s="57">
        <f t="shared" si="25"/>
        <v>569160</v>
      </c>
      <c r="E97" s="57">
        <f t="shared" si="25"/>
        <v>198000</v>
      </c>
      <c r="F97" s="57">
        <f t="shared" si="25"/>
        <v>198000</v>
      </c>
      <c r="G97" s="60"/>
      <c r="H97" s="60"/>
    </row>
    <row r="98" spans="1:8" s="61" customFormat="1" x14ac:dyDescent="0.25">
      <c r="A98" s="55" t="s">
        <v>468</v>
      </c>
      <c r="B98" s="56" t="s">
        <v>297</v>
      </c>
      <c r="C98" s="56" t="s">
        <v>290</v>
      </c>
      <c r="D98" s="57">
        <f t="shared" si="25"/>
        <v>0</v>
      </c>
      <c r="E98" s="57">
        <f t="shared" si="25"/>
        <v>0</v>
      </c>
      <c r="F98" s="57">
        <f t="shared" si="25"/>
        <v>0</v>
      </c>
      <c r="G98" s="60"/>
      <c r="H98" s="60"/>
    </row>
    <row r="99" spans="1:8" s="61" customFormat="1" x14ac:dyDescent="0.25">
      <c r="A99" s="55" t="s">
        <v>479</v>
      </c>
      <c r="B99" s="56" t="s">
        <v>297</v>
      </c>
      <c r="C99" s="56" t="s">
        <v>290</v>
      </c>
      <c r="D99" s="57">
        <f>D381</f>
        <v>7200</v>
      </c>
      <c r="E99" s="57">
        <f t="shared" ref="E99:F99" si="26">E381</f>
        <v>7200</v>
      </c>
      <c r="F99" s="57">
        <f t="shared" si="26"/>
        <v>7200</v>
      </c>
      <c r="G99" s="60"/>
      <c r="H99" s="60"/>
    </row>
    <row r="100" spans="1:8" s="238" customFormat="1" x14ac:dyDescent="0.25">
      <c r="A100" s="62" t="s">
        <v>633</v>
      </c>
      <c r="B100" s="63" t="s">
        <v>297</v>
      </c>
      <c r="C100" s="63" t="s">
        <v>634</v>
      </c>
      <c r="D100" s="64">
        <f>D179+D255+D369+D370</f>
        <v>0</v>
      </c>
      <c r="E100" s="64">
        <f t="shared" ref="E100:F100" si="27">E179+E255+E369+E370</f>
        <v>0</v>
      </c>
      <c r="F100" s="64">
        <f t="shared" si="27"/>
        <v>0</v>
      </c>
      <c r="G100" s="237"/>
      <c r="H100" s="237"/>
    </row>
    <row r="101" spans="1:8" s="140" customFormat="1" ht="14.25" x14ac:dyDescent="0.2">
      <c r="A101" s="62" t="s">
        <v>334</v>
      </c>
      <c r="B101" s="63" t="s">
        <v>335</v>
      </c>
      <c r="C101" s="63" t="s">
        <v>336</v>
      </c>
      <c r="D101" s="64">
        <f>D180+D256+D330</f>
        <v>15000</v>
      </c>
      <c r="E101" s="64">
        <f>E180+E256+E330</f>
        <v>15000</v>
      </c>
      <c r="F101" s="64">
        <f>F180+F256+F330</f>
        <v>15000</v>
      </c>
      <c r="H101" s="139"/>
    </row>
    <row r="102" spans="1:8" s="40" customFormat="1" ht="15" customHeight="1" x14ac:dyDescent="0.2">
      <c r="A102" s="62" t="s">
        <v>330</v>
      </c>
      <c r="B102" s="63" t="s">
        <v>332</v>
      </c>
      <c r="C102" s="63" t="s">
        <v>463</v>
      </c>
      <c r="D102" s="64">
        <f>D181+D332+D257</f>
        <v>0</v>
      </c>
      <c r="E102" s="64">
        <f t="shared" ref="E102:F102" si="28">E181+E332+E257</f>
        <v>0</v>
      </c>
      <c r="F102" s="64">
        <f t="shared" si="28"/>
        <v>0</v>
      </c>
      <c r="G102" s="66"/>
      <c r="H102" s="66"/>
    </row>
    <row r="103" spans="1:8" s="40" customFormat="1" ht="14.25" x14ac:dyDescent="0.2">
      <c r="A103" s="62" t="s">
        <v>438</v>
      </c>
      <c r="B103" s="63"/>
      <c r="C103" s="63"/>
      <c r="D103" s="64">
        <f>D182+D258+D332</f>
        <v>0</v>
      </c>
      <c r="E103" s="64">
        <f>E182+E258+E332</f>
        <v>0</v>
      </c>
      <c r="F103" s="64">
        <f>F182+F258+F332</f>
        <v>0</v>
      </c>
      <c r="G103" s="66"/>
      <c r="H103" s="66"/>
    </row>
    <row r="104" spans="1:8" s="140" customFormat="1" ht="14.25" x14ac:dyDescent="0.2">
      <c r="A104" s="136" t="s">
        <v>340</v>
      </c>
      <c r="B104" s="137" t="s">
        <v>297</v>
      </c>
      <c r="C104" s="63" t="s">
        <v>341</v>
      </c>
      <c r="D104" s="64">
        <f>SUM(D106:D118)</f>
        <v>696041</v>
      </c>
      <c r="E104" s="64">
        <f t="shared" ref="E104:F104" si="29">SUM(E106:E118)</f>
        <v>594917</v>
      </c>
      <c r="F104" s="64">
        <f t="shared" si="29"/>
        <v>594917</v>
      </c>
      <c r="G104" s="139"/>
      <c r="H104" s="139"/>
    </row>
    <row r="105" spans="1:8" ht="15" customHeight="1" x14ac:dyDescent="0.25">
      <c r="A105" s="55" t="s">
        <v>311</v>
      </c>
      <c r="B105" s="56"/>
      <c r="C105" s="56"/>
      <c r="D105" s="57"/>
      <c r="E105" s="57"/>
      <c r="F105" s="57"/>
      <c r="G105" s="59"/>
      <c r="H105" s="59"/>
    </row>
    <row r="106" spans="1:8" s="61" customFormat="1" ht="15" customHeight="1" x14ac:dyDescent="0.25">
      <c r="A106" s="67" t="s">
        <v>439</v>
      </c>
      <c r="B106" s="68" t="s">
        <v>297</v>
      </c>
      <c r="C106" s="56" t="s">
        <v>341</v>
      </c>
      <c r="D106" s="57">
        <f t="shared" ref="D106:D117" si="30">D185+D261+D336</f>
        <v>307968</v>
      </c>
      <c r="E106" s="57">
        <f t="shared" ref="E106:F106" si="31">E185+E261+E336</f>
        <v>207437</v>
      </c>
      <c r="F106" s="57">
        <f t="shared" si="31"/>
        <v>207437</v>
      </c>
      <c r="G106" s="60"/>
      <c r="H106" s="60"/>
    </row>
    <row r="107" spans="1:8" s="61" customFormat="1" ht="15" customHeight="1" x14ac:dyDescent="0.25">
      <c r="A107" s="67" t="s">
        <v>440</v>
      </c>
      <c r="B107" s="68" t="s">
        <v>297</v>
      </c>
      <c r="C107" s="56" t="s">
        <v>341</v>
      </c>
      <c r="D107" s="57">
        <f t="shared" si="30"/>
        <v>289980</v>
      </c>
      <c r="E107" s="57">
        <f t="shared" ref="E107:F117" si="32">E186+E262+E337</f>
        <v>289980</v>
      </c>
      <c r="F107" s="57">
        <f t="shared" si="32"/>
        <v>289980</v>
      </c>
      <c r="G107" s="60"/>
      <c r="H107" s="60"/>
    </row>
    <row r="108" spans="1:8" s="61" customFormat="1" ht="15" customHeight="1" x14ac:dyDescent="0.25">
      <c r="A108" s="67" t="s">
        <v>441</v>
      </c>
      <c r="B108" s="68" t="s">
        <v>297</v>
      </c>
      <c r="C108" s="56" t="s">
        <v>341</v>
      </c>
      <c r="D108" s="57">
        <f t="shared" si="30"/>
        <v>36000</v>
      </c>
      <c r="E108" s="57">
        <f t="shared" si="32"/>
        <v>36000</v>
      </c>
      <c r="F108" s="57">
        <f t="shared" si="32"/>
        <v>36000</v>
      </c>
      <c r="G108" s="60"/>
      <c r="H108" s="60"/>
    </row>
    <row r="109" spans="1:8" s="61" customFormat="1" ht="15" customHeight="1" x14ac:dyDescent="0.25">
      <c r="A109" s="67" t="s">
        <v>442</v>
      </c>
      <c r="B109" s="68" t="s">
        <v>297</v>
      </c>
      <c r="C109" s="56" t="s">
        <v>341</v>
      </c>
      <c r="D109" s="57">
        <f t="shared" si="30"/>
        <v>16500</v>
      </c>
      <c r="E109" s="57">
        <f t="shared" si="32"/>
        <v>16500</v>
      </c>
      <c r="F109" s="57">
        <f t="shared" si="32"/>
        <v>16500</v>
      </c>
      <c r="G109" s="60"/>
      <c r="H109" s="60"/>
    </row>
    <row r="110" spans="1:8" s="40" customFormat="1" x14ac:dyDescent="0.25">
      <c r="A110" s="138" t="s">
        <v>443</v>
      </c>
      <c r="B110" s="73" t="s">
        <v>297</v>
      </c>
      <c r="C110" s="73" t="s">
        <v>341</v>
      </c>
      <c r="D110" s="57">
        <f t="shared" si="30"/>
        <v>45000</v>
      </c>
      <c r="E110" s="57">
        <f t="shared" si="32"/>
        <v>45000</v>
      </c>
      <c r="F110" s="57">
        <f t="shared" si="32"/>
        <v>45000</v>
      </c>
    </row>
    <row r="111" spans="1:8" x14ac:dyDescent="0.25">
      <c r="A111" s="55" t="s">
        <v>444</v>
      </c>
      <c r="B111" s="56" t="s">
        <v>297</v>
      </c>
      <c r="C111" s="56" t="s">
        <v>341</v>
      </c>
      <c r="D111" s="57">
        <f t="shared" si="30"/>
        <v>0</v>
      </c>
      <c r="E111" s="57">
        <f t="shared" si="32"/>
        <v>0</v>
      </c>
      <c r="F111" s="57">
        <f t="shared" si="32"/>
        <v>0</v>
      </c>
      <c r="G111" s="59"/>
    </row>
    <row r="112" spans="1:8" x14ac:dyDescent="0.25">
      <c r="A112" s="55" t="s">
        <v>445</v>
      </c>
      <c r="B112" s="56" t="s">
        <v>297</v>
      </c>
      <c r="C112" s="56" t="s">
        <v>341</v>
      </c>
      <c r="D112" s="57">
        <f t="shared" si="30"/>
        <v>0</v>
      </c>
      <c r="E112" s="57">
        <f t="shared" si="32"/>
        <v>0</v>
      </c>
      <c r="F112" s="57">
        <f t="shared" si="32"/>
        <v>0</v>
      </c>
      <c r="G112" s="59"/>
    </row>
    <row r="113" spans="1:8" s="61" customFormat="1" x14ac:dyDescent="0.25">
      <c r="A113" s="55" t="s">
        <v>446</v>
      </c>
      <c r="B113" s="56" t="s">
        <v>297</v>
      </c>
      <c r="C113" s="56" t="s">
        <v>341</v>
      </c>
      <c r="D113" s="57">
        <f t="shared" si="30"/>
        <v>0</v>
      </c>
      <c r="E113" s="57">
        <f t="shared" si="32"/>
        <v>0</v>
      </c>
      <c r="F113" s="57">
        <f t="shared" si="32"/>
        <v>0</v>
      </c>
      <c r="G113" s="60"/>
      <c r="H113" s="60"/>
    </row>
    <row r="114" spans="1:8" s="61" customFormat="1" x14ac:dyDescent="0.25">
      <c r="A114" s="55" t="s">
        <v>447</v>
      </c>
      <c r="B114" s="56" t="s">
        <v>297</v>
      </c>
      <c r="C114" s="56" t="s">
        <v>341</v>
      </c>
      <c r="D114" s="57">
        <f t="shared" si="30"/>
        <v>0</v>
      </c>
      <c r="E114" s="57">
        <f t="shared" si="32"/>
        <v>0</v>
      </c>
      <c r="F114" s="57">
        <f t="shared" si="32"/>
        <v>0</v>
      </c>
      <c r="G114" s="60"/>
      <c r="H114" s="60"/>
    </row>
    <row r="115" spans="1:8" s="61" customFormat="1" x14ac:dyDescent="0.25">
      <c r="A115" s="55" t="s">
        <v>448</v>
      </c>
      <c r="B115" s="56" t="s">
        <v>297</v>
      </c>
      <c r="C115" s="56" t="s">
        <v>341</v>
      </c>
      <c r="D115" s="57">
        <f t="shared" si="30"/>
        <v>0</v>
      </c>
      <c r="E115" s="57">
        <f t="shared" si="32"/>
        <v>0</v>
      </c>
      <c r="F115" s="57">
        <f t="shared" si="32"/>
        <v>0</v>
      </c>
      <c r="G115" s="60"/>
      <c r="H115" s="60"/>
    </row>
    <row r="116" spans="1:8" x14ac:dyDescent="0.25">
      <c r="A116" s="55" t="s">
        <v>449</v>
      </c>
      <c r="B116" s="56" t="s">
        <v>297</v>
      </c>
      <c r="C116" s="56" t="s">
        <v>341</v>
      </c>
      <c r="D116" s="57">
        <f t="shared" si="30"/>
        <v>0</v>
      </c>
      <c r="E116" s="57">
        <f t="shared" si="32"/>
        <v>0</v>
      </c>
      <c r="F116" s="57">
        <f t="shared" si="32"/>
        <v>0</v>
      </c>
      <c r="G116" s="59"/>
    </row>
    <row r="117" spans="1:8" s="40" customFormat="1" x14ac:dyDescent="0.25">
      <c r="A117" s="55" t="s">
        <v>450</v>
      </c>
      <c r="B117" s="56" t="s">
        <v>297</v>
      </c>
      <c r="C117" s="56" t="s">
        <v>341</v>
      </c>
      <c r="D117" s="57">
        <f t="shared" si="30"/>
        <v>0</v>
      </c>
      <c r="E117" s="57">
        <f t="shared" si="32"/>
        <v>0</v>
      </c>
      <c r="F117" s="57">
        <f t="shared" si="32"/>
        <v>0</v>
      </c>
      <c r="G117" s="66"/>
    </row>
    <row r="118" spans="1:8" x14ac:dyDescent="0.25">
      <c r="A118" s="55" t="s">
        <v>451</v>
      </c>
      <c r="B118" s="56" t="s">
        <v>297</v>
      </c>
      <c r="C118" s="56" t="s">
        <v>341</v>
      </c>
      <c r="D118" s="57">
        <f>D197+D273+D348+D374</f>
        <v>593</v>
      </c>
      <c r="E118" s="57">
        <f t="shared" ref="E118:F118" si="33">E197+E273+E348+E374</f>
        <v>0</v>
      </c>
      <c r="F118" s="57">
        <f t="shared" si="33"/>
        <v>0</v>
      </c>
      <c r="G118" s="59"/>
      <c r="H118" s="59"/>
    </row>
    <row r="119" spans="1:8" s="40" customFormat="1" ht="14.25" x14ac:dyDescent="0.2">
      <c r="A119" s="62" t="s">
        <v>342</v>
      </c>
      <c r="B119" s="63" t="s">
        <v>297</v>
      </c>
      <c r="C119" s="63" t="s">
        <v>343</v>
      </c>
      <c r="D119" s="65">
        <f>SUM(D121:D131)</f>
        <v>3612443.77</v>
      </c>
      <c r="E119" s="65">
        <f t="shared" ref="E119:F119" si="34">SUM(E121:E131)</f>
        <v>3240317</v>
      </c>
      <c r="F119" s="65">
        <f t="shared" si="34"/>
        <v>3240317</v>
      </c>
      <c r="G119" s="66"/>
      <c r="H119" s="66"/>
    </row>
    <row r="120" spans="1:8" ht="15" customHeight="1" x14ac:dyDescent="0.25">
      <c r="A120" s="55" t="s">
        <v>311</v>
      </c>
      <c r="B120" s="56"/>
      <c r="C120" s="56"/>
      <c r="D120" s="57"/>
      <c r="E120" s="57"/>
      <c r="F120" s="57"/>
      <c r="G120" s="59"/>
      <c r="H120" s="59"/>
    </row>
    <row r="121" spans="1:8" s="61" customFormat="1" ht="15" customHeight="1" x14ac:dyDescent="0.25">
      <c r="A121" s="67" t="s">
        <v>452</v>
      </c>
      <c r="B121" s="68" t="s">
        <v>297</v>
      </c>
      <c r="C121" s="56" t="s">
        <v>343</v>
      </c>
      <c r="D121" s="57">
        <f>D200+D276+D351+D384+D385+D388</f>
        <v>2954425</v>
      </c>
      <c r="E121" s="57">
        <f>E200+E276+E351+E384+E385+E388</f>
        <v>2937868</v>
      </c>
      <c r="F121" s="57">
        <f t="shared" ref="F121" si="35">F200+F276+F351+F384+F385+F388</f>
        <v>2937868</v>
      </c>
      <c r="G121" s="60"/>
      <c r="H121" s="60"/>
    </row>
    <row r="122" spans="1:8" s="61" customFormat="1" ht="15" customHeight="1" x14ac:dyDescent="0.25">
      <c r="A122" s="67" t="s">
        <v>453</v>
      </c>
      <c r="B122" s="68" t="s">
        <v>297</v>
      </c>
      <c r="C122" s="56" t="s">
        <v>343</v>
      </c>
      <c r="D122" s="57">
        <f t="shared" ref="D122:F123" si="36">D201+D277+D352</f>
        <v>161880</v>
      </c>
      <c r="E122" s="57">
        <f t="shared" si="36"/>
        <v>135000</v>
      </c>
      <c r="F122" s="57">
        <f t="shared" si="36"/>
        <v>135000</v>
      </c>
      <c r="G122" s="60"/>
      <c r="H122" s="60"/>
    </row>
    <row r="123" spans="1:8" s="61" customFormat="1" ht="15" customHeight="1" x14ac:dyDescent="0.25">
      <c r="A123" s="67" t="s">
        <v>454</v>
      </c>
      <c r="B123" s="68" t="s">
        <v>297</v>
      </c>
      <c r="C123" s="56" t="s">
        <v>343</v>
      </c>
      <c r="D123" s="57">
        <f t="shared" si="36"/>
        <v>0</v>
      </c>
      <c r="E123" s="57">
        <f t="shared" si="36"/>
        <v>0</v>
      </c>
      <c r="F123" s="57">
        <f t="shared" si="36"/>
        <v>0</v>
      </c>
      <c r="G123" s="60"/>
      <c r="H123" s="60"/>
    </row>
    <row r="124" spans="1:8" s="61" customFormat="1" ht="15" customHeight="1" x14ac:dyDescent="0.25">
      <c r="A124" s="67" t="s">
        <v>455</v>
      </c>
      <c r="B124" s="68" t="s">
        <v>297</v>
      </c>
      <c r="C124" s="56" t="s">
        <v>343</v>
      </c>
      <c r="D124" s="57">
        <f>D203+D279+D354+D371</f>
        <v>158856</v>
      </c>
      <c r="E124" s="57">
        <f t="shared" ref="E124:F124" si="37">E203+E279+E354+E371</f>
        <v>159449</v>
      </c>
      <c r="F124" s="57">
        <f t="shared" si="37"/>
        <v>159449</v>
      </c>
      <c r="G124" s="60"/>
      <c r="H124" s="60"/>
    </row>
    <row r="125" spans="1:8" s="61" customFormat="1" ht="15" customHeight="1" x14ac:dyDescent="0.25">
      <c r="A125" s="67" t="s">
        <v>456</v>
      </c>
      <c r="B125" s="68" t="s">
        <v>297</v>
      </c>
      <c r="C125" s="56" t="s">
        <v>343</v>
      </c>
      <c r="D125" s="57">
        <f t="shared" ref="D125:F131" si="38">D204+D280+D355</f>
        <v>0</v>
      </c>
      <c r="E125" s="57">
        <f t="shared" si="38"/>
        <v>0</v>
      </c>
      <c r="F125" s="57">
        <f t="shared" si="38"/>
        <v>0</v>
      </c>
      <c r="G125" s="60"/>
      <c r="H125" s="60"/>
    </row>
    <row r="126" spans="1:8" s="61" customFormat="1" ht="15" customHeight="1" x14ac:dyDescent="0.25">
      <c r="A126" s="67" t="s">
        <v>457</v>
      </c>
      <c r="B126" s="68" t="s">
        <v>297</v>
      </c>
      <c r="C126" s="56" t="s">
        <v>343</v>
      </c>
      <c r="D126" s="57">
        <f t="shared" si="38"/>
        <v>0</v>
      </c>
      <c r="E126" s="57">
        <f t="shared" si="38"/>
        <v>0</v>
      </c>
      <c r="F126" s="57">
        <f t="shared" si="38"/>
        <v>0</v>
      </c>
      <c r="G126" s="60"/>
      <c r="H126" s="60"/>
    </row>
    <row r="127" spans="1:8" s="61" customFormat="1" ht="15" customHeight="1" x14ac:dyDescent="0.25">
      <c r="A127" s="67" t="s">
        <v>458</v>
      </c>
      <c r="B127" s="68" t="s">
        <v>297</v>
      </c>
      <c r="C127" s="56" t="s">
        <v>343</v>
      </c>
      <c r="D127" s="57">
        <f t="shared" si="38"/>
        <v>8000</v>
      </c>
      <c r="E127" s="57">
        <f t="shared" si="38"/>
        <v>8000</v>
      </c>
      <c r="F127" s="57">
        <f t="shared" si="38"/>
        <v>8000</v>
      </c>
      <c r="G127" s="60"/>
      <c r="H127" s="60"/>
    </row>
    <row r="128" spans="1:8" s="61" customFormat="1" ht="15" customHeight="1" x14ac:dyDescent="0.25">
      <c r="A128" s="67" t="s">
        <v>459</v>
      </c>
      <c r="B128" s="68" t="s">
        <v>297</v>
      </c>
      <c r="C128" s="56" t="s">
        <v>343</v>
      </c>
      <c r="D128" s="57">
        <f t="shared" si="38"/>
        <v>0</v>
      </c>
      <c r="E128" s="57">
        <f t="shared" si="38"/>
        <v>0</v>
      </c>
      <c r="F128" s="57">
        <f t="shared" si="38"/>
        <v>0</v>
      </c>
      <c r="G128" s="60"/>
      <c r="H128" s="60"/>
    </row>
    <row r="129" spans="1:8" s="61" customFormat="1" ht="15" customHeight="1" x14ac:dyDescent="0.25">
      <c r="A129" s="67" t="s">
        <v>460</v>
      </c>
      <c r="B129" s="68" t="s">
        <v>297</v>
      </c>
      <c r="C129" s="56" t="s">
        <v>343</v>
      </c>
      <c r="D129" s="57">
        <f t="shared" si="38"/>
        <v>0</v>
      </c>
      <c r="E129" s="57">
        <f t="shared" si="38"/>
        <v>0</v>
      </c>
      <c r="F129" s="57">
        <f t="shared" si="38"/>
        <v>0</v>
      </c>
      <c r="G129" s="60"/>
      <c r="H129" s="60"/>
    </row>
    <row r="130" spans="1:8" s="61" customFormat="1" ht="15" customHeight="1" x14ac:dyDescent="0.25">
      <c r="A130" s="67" t="s">
        <v>461</v>
      </c>
      <c r="B130" s="68" t="s">
        <v>297</v>
      </c>
      <c r="C130" s="56" t="s">
        <v>343</v>
      </c>
      <c r="D130" s="57">
        <f t="shared" si="38"/>
        <v>0</v>
      </c>
      <c r="E130" s="57">
        <f t="shared" si="38"/>
        <v>0</v>
      </c>
      <c r="F130" s="57">
        <f t="shared" si="38"/>
        <v>0</v>
      </c>
      <c r="G130" s="60"/>
      <c r="H130" s="60"/>
    </row>
    <row r="131" spans="1:8" s="61" customFormat="1" ht="15" customHeight="1" x14ac:dyDescent="0.25">
      <c r="A131" s="67" t="s">
        <v>462</v>
      </c>
      <c r="B131" s="68" t="s">
        <v>297</v>
      </c>
      <c r="C131" s="56" t="s">
        <v>343</v>
      </c>
      <c r="D131" s="57">
        <f t="shared" si="38"/>
        <v>329282.77</v>
      </c>
      <c r="E131" s="57">
        <f t="shared" si="38"/>
        <v>0</v>
      </c>
      <c r="F131" s="57">
        <f t="shared" si="38"/>
        <v>0</v>
      </c>
      <c r="G131" s="60"/>
      <c r="H131" s="60"/>
    </row>
    <row r="132" spans="1:8" s="40" customFormat="1" ht="21.75" customHeight="1" x14ac:dyDescent="0.25">
      <c r="A132" s="159" t="s">
        <v>473</v>
      </c>
      <c r="B132" s="160"/>
      <c r="C132" s="160"/>
      <c r="D132" s="161">
        <f>D133+D134+D135+D136+D137+D138+D139+D144+D145+D161+D179+D198+D180+D181+D182+D183</f>
        <v>981245.58</v>
      </c>
      <c r="E132" s="161">
        <f t="shared" ref="E132:F132" si="39">E133+E134+E135+E136+E137+E138+E139+E144+E145+E161+E179+E198+E180+E181+E182+E183</f>
        <v>330003</v>
      </c>
      <c r="F132" s="161">
        <f t="shared" si="39"/>
        <v>330003</v>
      </c>
      <c r="G132" s="203" t="s">
        <v>613</v>
      </c>
    </row>
    <row r="133" spans="1:8" s="40" customFormat="1" ht="14.25" x14ac:dyDescent="0.2">
      <c r="A133" s="62" t="s">
        <v>279</v>
      </c>
      <c r="B133" s="63" t="s">
        <v>281</v>
      </c>
      <c r="C133" s="63" t="s">
        <v>282</v>
      </c>
      <c r="D133" s="64"/>
      <c r="E133" s="64"/>
      <c r="F133" s="64"/>
      <c r="G133" s="66"/>
    </row>
    <row r="134" spans="1:8" s="40" customFormat="1" ht="14.25" x14ac:dyDescent="0.2">
      <c r="A134" s="62" t="s">
        <v>283</v>
      </c>
      <c r="B134" s="63" t="s">
        <v>281</v>
      </c>
      <c r="C134" s="63" t="s">
        <v>284</v>
      </c>
      <c r="D134" s="64"/>
      <c r="E134" s="64"/>
      <c r="F134" s="64"/>
      <c r="G134" s="66"/>
    </row>
    <row r="135" spans="1:8" s="140" customFormat="1" ht="14.25" x14ac:dyDescent="0.2">
      <c r="A135" s="62" t="s">
        <v>291</v>
      </c>
      <c r="B135" s="63" t="s">
        <v>288</v>
      </c>
      <c r="C135" s="63" t="s">
        <v>284</v>
      </c>
      <c r="D135" s="64"/>
      <c r="E135" s="64"/>
      <c r="F135" s="64"/>
      <c r="G135" s="139"/>
      <c r="H135" s="139"/>
    </row>
    <row r="136" spans="1:8" s="40" customFormat="1" ht="14.25" x14ac:dyDescent="0.2">
      <c r="A136" s="62" t="s">
        <v>292</v>
      </c>
      <c r="B136" s="63" t="s">
        <v>294</v>
      </c>
      <c r="C136" s="63" t="s">
        <v>295</v>
      </c>
      <c r="D136" s="64"/>
      <c r="E136" s="64"/>
      <c r="F136" s="64"/>
      <c r="G136" s="66"/>
    </row>
    <row r="137" spans="1:8" s="40" customFormat="1" ht="14.25" x14ac:dyDescent="0.2">
      <c r="A137" s="62" t="s">
        <v>296</v>
      </c>
      <c r="B137" s="63" t="s">
        <v>297</v>
      </c>
      <c r="C137" s="63" t="s">
        <v>298</v>
      </c>
      <c r="D137" s="64"/>
      <c r="E137" s="64"/>
      <c r="F137" s="64"/>
      <c r="G137" s="66"/>
    </row>
    <row r="138" spans="1:8" s="140" customFormat="1" ht="14.25" x14ac:dyDescent="0.2">
      <c r="A138" s="62" t="s">
        <v>302</v>
      </c>
      <c r="B138" s="63" t="s">
        <v>297</v>
      </c>
      <c r="C138" s="63" t="s">
        <v>303</v>
      </c>
      <c r="D138" s="64"/>
      <c r="E138" s="64"/>
      <c r="F138" s="64"/>
      <c r="H138" s="139"/>
    </row>
    <row r="139" spans="1:8" s="40" customFormat="1" ht="28.5" x14ac:dyDescent="0.2">
      <c r="A139" s="62" t="s">
        <v>410</v>
      </c>
      <c r="B139" s="63" t="s">
        <v>752</v>
      </c>
      <c r="C139" s="63" t="s">
        <v>305</v>
      </c>
      <c r="D139" s="64">
        <f>SUM(D140:D143)</f>
        <v>103092</v>
      </c>
      <c r="E139" s="64">
        <f t="shared" ref="E139:F139" si="40">SUM(E140:E143)</f>
        <v>39612</v>
      </c>
      <c r="F139" s="64">
        <f t="shared" si="40"/>
        <v>39612</v>
      </c>
      <c r="G139" s="66"/>
      <c r="H139" s="66"/>
    </row>
    <row r="140" spans="1:8" s="40" customFormat="1" x14ac:dyDescent="0.25">
      <c r="A140" s="67" t="s">
        <v>748</v>
      </c>
      <c r="B140" s="68" t="s">
        <v>749</v>
      </c>
      <c r="C140" s="56" t="s">
        <v>305</v>
      </c>
      <c r="D140" s="57">
        <f>25746+34944+6318</f>
        <v>67008</v>
      </c>
      <c r="E140" s="57">
        <v>25746</v>
      </c>
      <c r="F140" s="57">
        <v>25746</v>
      </c>
      <c r="G140" s="66"/>
      <c r="H140" s="66"/>
    </row>
    <row r="141" spans="1:8" s="40" customFormat="1" x14ac:dyDescent="0.25">
      <c r="A141" s="67" t="s">
        <v>750</v>
      </c>
      <c r="B141" s="68" t="s">
        <v>749</v>
      </c>
      <c r="C141" s="56" t="s">
        <v>305</v>
      </c>
      <c r="D141" s="57">
        <f>8322+11290+2041</f>
        <v>21653</v>
      </c>
      <c r="E141" s="57">
        <v>8322</v>
      </c>
      <c r="F141" s="57">
        <v>8322</v>
      </c>
      <c r="G141" s="66"/>
      <c r="H141" s="66"/>
    </row>
    <row r="142" spans="1:8" s="40" customFormat="1" x14ac:dyDescent="0.25">
      <c r="A142" s="67" t="s">
        <v>751</v>
      </c>
      <c r="B142" s="68" t="s">
        <v>297</v>
      </c>
      <c r="C142" s="56" t="s">
        <v>305</v>
      </c>
      <c r="D142" s="57">
        <f>5544+7526+1361</f>
        <v>14431</v>
      </c>
      <c r="E142" s="57">
        <v>5544</v>
      </c>
      <c r="F142" s="57">
        <v>5544</v>
      </c>
      <c r="G142" s="66"/>
      <c r="H142" s="66"/>
    </row>
    <row r="143" spans="1:8" s="40" customFormat="1" x14ac:dyDescent="0.25">
      <c r="A143" s="67" t="s">
        <v>748</v>
      </c>
      <c r="B143" s="68" t="s">
        <v>297</v>
      </c>
      <c r="C143" s="56" t="s">
        <v>305</v>
      </c>
      <c r="D143" s="57"/>
      <c r="E143" s="57"/>
      <c r="F143" s="57"/>
      <c r="G143" s="66"/>
      <c r="H143" s="66"/>
    </row>
    <row r="144" spans="1:8" s="140" customFormat="1" ht="14.25" x14ac:dyDescent="0.2">
      <c r="A144" s="136" t="s">
        <v>307</v>
      </c>
      <c r="B144" s="137" t="s">
        <v>297</v>
      </c>
      <c r="C144" s="63" t="s">
        <v>308</v>
      </c>
      <c r="D144" s="64"/>
      <c r="E144" s="64"/>
      <c r="F144" s="64"/>
      <c r="G144" s="139"/>
      <c r="H144" s="139"/>
    </row>
    <row r="145" spans="1:8" s="40" customFormat="1" ht="18" customHeight="1" x14ac:dyDescent="0.2">
      <c r="A145" s="62" t="s">
        <v>309</v>
      </c>
      <c r="B145" s="63" t="s">
        <v>297</v>
      </c>
      <c r="C145" s="63" t="s">
        <v>310</v>
      </c>
      <c r="D145" s="65">
        <f>SUM(D146:D160)</f>
        <v>0</v>
      </c>
      <c r="E145" s="65">
        <f t="shared" ref="E145:F145" si="41">SUM(E146:E160)</f>
        <v>0</v>
      </c>
      <c r="F145" s="65">
        <f t="shared" si="41"/>
        <v>0</v>
      </c>
      <c r="G145" s="66"/>
      <c r="H145" s="66"/>
    </row>
    <row r="146" spans="1:8" ht="15" customHeight="1" x14ac:dyDescent="0.25">
      <c r="A146" s="55" t="s">
        <v>311</v>
      </c>
      <c r="B146" s="56" t="s">
        <v>297</v>
      </c>
      <c r="C146" s="56" t="s">
        <v>310</v>
      </c>
      <c r="D146" s="57"/>
      <c r="E146" s="57"/>
      <c r="F146" s="57"/>
      <c r="G146" s="59"/>
      <c r="H146" s="59"/>
    </row>
    <row r="147" spans="1:8" s="69" customFormat="1" ht="15" customHeight="1" x14ac:dyDescent="0.25">
      <c r="A147" s="55" t="s">
        <v>411</v>
      </c>
      <c r="B147" s="56" t="s">
        <v>297</v>
      </c>
      <c r="C147" s="56" t="s">
        <v>310</v>
      </c>
      <c r="D147" s="57"/>
      <c r="E147" s="57"/>
      <c r="F147" s="64"/>
      <c r="H147" s="70"/>
    </row>
    <row r="148" spans="1:8" ht="15" customHeight="1" x14ac:dyDescent="0.25">
      <c r="A148" s="55" t="s">
        <v>412</v>
      </c>
      <c r="B148" s="56" t="s">
        <v>297</v>
      </c>
      <c r="C148" s="56" t="s">
        <v>310</v>
      </c>
      <c r="D148" s="57"/>
      <c r="E148" s="57"/>
      <c r="F148" s="64"/>
      <c r="G148" s="59"/>
      <c r="H148" s="59"/>
    </row>
    <row r="149" spans="1:8" ht="15" customHeight="1" x14ac:dyDescent="0.25">
      <c r="A149" s="55" t="s">
        <v>413</v>
      </c>
      <c r="B149" s="56" t="s">
        <v>297</v>
      </c>
      <c r="C149" s="56" t="s">
        <v>310</v>
      </c>
      <c r="D149" s="57"/>
      <c r="E149" s="57"/>
      <c r="F149" s="64"/>
      <c r="G149" s="59"/>
      <c r="H149" s="59"/>
    </row>
    <row r="150" spans="1:8" ht="15" customHeight="1" x14ac:dyDescent="0.25">
      <c r="A150" s="55" t="s">
        <v>414</v>
      </c>
      <c r="B150" s="56" t="s">
        <v>297</v>
      </c>
      <c r="C150" s="56" t="s">
        <v>310</v>
      </c>
      <c r="D150" s="57"/>
      <c r="E150" s="57"/>
      <c r="F150" s="64"/>
      <c r="H150" s="59"/>
    </row>
    <row r="151" spans="1:8" ht="15" customHeight="1" x14ac:dyDescent="0.25">
      <c r="A151" s="55" t="s">
        <v>415</v>
      </c>
      <c r="B151" s="56" t="s">
        <v>297</v>
      </c>
      <c r="C151" s="56" t="s">
        <v>310</v>
      </c>
      <c r="D151" s="57"/>
      <c r="E151" s="57"/>
      <c r="F151" s="64"/>
      <c r="H151" s="59"/>
    </row>
    <row r="152" spans="1:8" ht="15" customHeight="1" x14ac:dyDescent="0.25">
      <c r="A152" s="55" t="s">
        <v>416</v>
      </c>
      <c r="B152" s="56" t="s">
        <v>297</v>
      </c>
      <c r="C152" s="56" t="s">
        <v>310</v>
      </c>
      <c r="D152" s="57"/>
      <c r="E152" s="57"/>
      <c r="F152" s="64"/>
      <c r="H152" s="59"/>
    </row>
    <row r="153" spans="1:8" ht="15" customHeight="1" x14ac:dyDescent="0.25">
      <c r="A153" s="55" t="s">
        <v>417</v>
      </c>
      <c r="B153" s="56" t="s">
        <v>297</v>
      </c>
      <c r="C153" s="56" t="s">
        <v>310</v>
      </c>
      <c r="D153" s="57"/>
      <c r="E153" s="57"/>
      <c r="F153" s="64"/>
      <c r="H153" s="59"/>
    </row>
    <row r="154" spans="1:8" ht="15" customHeight="1" x14ac:dyDescent="0.25">
      <c r="A154" s="55" t="s">
        <v>418</v>
      </c>
      <c r="B154" s="56" t="s">
        <v>297</v>
      </c>
      <c r="C154" s="56" t="s">
        <v>310</v>
      </c>
      <c r="D154" s="57"/>
      <c r="E154" s="57"/>
      <c r="F154" s="64"/>
      <c r="H154" s="59"/>
    </row>
    <row r="155" spans="1:8" ht="15" customHeight="1" x14ac:dyDescent="0.25">
      <c r="A155" s="55" t="s">
        <v>419</v>
      </c>
      <c r="B155" s="56" t="s">
        <v>297</v>
      </c>
      <c r="C155" s="56" t="s">
        <v>310</v>
      </c>
      <c r="D155" s="57"/>
      <c r="E155" s="57"/>
      <c r="F155" s="64"/>
      <c r="H155" s="59"/>
    </row>
    <row r="156" spans="1:8" ht="15" customHeight="1" x14ac:dyDescent="0.25">
      <c r="A156" s="55" t="s">
        <v>420</v>
      </c>
      <c r="B156" s="56" t="s">
        <v>297</v>
      </c>
      <c r="C156" s="56" t="s">
        <v>310</v>
      </c>
      <c r="D156" s="57"/>
      <c r="E156" s="57"/>
      <c r="F156" s="64"/>
      <c r="H156" s="59"/>
    </row>
    <row r="157" spans="1:8" ht="15" customHeight="1" x14ac:dyDescent="0.25">
      <c r="A157" s="55" t="s">
        <v>421</v>
      </c>
      <c r="B157" s="56" t="s">
        <v>297</v>
      </c>
      <c r="C157" s="56" t="s">
        <v>310</v>
      </c>
      <c r="D157" s="57"/>
      <c r="E157" s="57"/>
      <c r="F157" s="64"/>
      <c r="H157" s="59"/>
    </row>
    <row r="158" spans="1:8" ht="15" customHeight="1" x14ac:dyDescent="0.25">
      <c r="A158" s="55" t="s">
        <v>422</v>
      </c>
      <c r="B158" s="56" t="s">
        <v>297</v>
      </c>
      <c r="C158" s="56" t="s">
        <v>310</v>
      </c>
      <c r="D158" s="57"/>
      <c r="E158" s="57"/>
      <c r="F158" s="64"/>
      <c r="H158" s="59"/>
    </row>
    <row r="159" spans="1:8" ht="15" customHeight="1" x14ac:dyDescent="0.25">
      <c r="A159" s="55" t="s">
        <v>423</v>
      </c>
      <c r="B159" s="56" t="s">
        <v>297</v>
      </c>
      <c r="C159" s="56" t="s">
        <v>310</v>
      </c>
      <c r="D159" s="57"/>
      <c r="E159" s="57"/>
      <c r="F159" s="64"/>
      <c r="H159" s="59"/>
    </row>
    <row r="160" spans="1:8" ht="15" customHeight="1" x14ac:dyDescent="0.25">
      <c r="A160" s="55" t="s">
        <v>480</v>
      </c>
      <c r="B160" s="56" t="s">
        <v>297</v>
      </c>
      <c r="C160" s="56" t="s">
        <v>310</v>
      </c>
      <c r="D160" s="57"/>
      <c r="E160" s="57"/>
      <c r="F160" s="64"/>
      <c r="H160" s="59"/>
    </row>
    <row r="161" spans="1:8" s="40" customFormat="1" ht="18" customHeight="1" x14ac:dyDescent="0.2">
      <c r="A161" s="62" t="s">
        <v>322</v>
      </c>
      <c r="B161" s="63" t="s">
        <v>297</v>
      </c>
      <c r="C161" s="63" t="s">
        <v>290</v>
      </c>
      <c r="D161" s="65">
        <f>SUM(D162:D178)</f>
        <v>634106</v>
      </c>
      <c r="E161" s="65">
        <f>SUM(E162:E178)</f>
        <v>222954</v>
      </c>
      <c r="F161" s="65">
        <f>SUM(F162:F178)</f>
        <v>222954</v>
      </c>
      <c r="G161" s="66"/>
      <c r="H161" s="66"/>
    </row>
    <row r="162" spans="1:8" s="61" customFormat="1" x14ac:dyDescent="0.25">
      <c r="A162" s="55" t="s">
        <v>424</v>
      </c>
      <c r="B162" s="56" t="s">
        <v>297</v>
      </c>
      <c r="C162" s="56" t="s">
        <v>290</v>
      </c>
      <c r="D162" s="57">
        <f>5154+6989+1263</f>
        <v>13406</v>
      </c>
      <c r="E162" s="57">
        <v>5154</v>
      </c>
      <c r="F162" s="57">
        <v>5154</v>
      </c>
      <c r="G162" s="45"/>
      <c r="H162" s="59"/>
    </row>
    <row r="163" spans="1:8" ht="14.25" customHeight="1" x14ac:dyDescent="0.25">
      <c r="A163" s="55" t="s">
        <v>425</v>
      </c>
      <c r="B163" s="56" t="s">
        <v>297</v>
      </c>
      <c r="C163" s="56" t="s">
        <v>290</v>
      </c>
      <c r="D163" s="57"/>
      <c r="E163" s="57"/>
      <c r="F163" s="57"/>
      <c r="H163" s="59"/>
    </row>
    <row r="164" spans="1:8" ht="14.25" customHeight="1" x14ac:dyDescent="0.25">
      <c r="A164" s="55" t="s">
        <v>426</v>
      </c>
      <c r="B164" s="56" t="s">
        <v>297</v>
      </c>
      <c r="C164" s="56" t="s">
        <v>290</v>
      </c>
      <c r="D164" s="57"/>
      <c r="E164" s="57"/>
      <c r="F164" s="57"/>
      <c r="H164" s="59"/>
    </row>
    <row r="165" spans="1:8" ht="14.25" customHeight="1" x14ac:dyDescent="0.25">
      <c r="A165" s="55" t="s">
        <v>427</v>
      </c>
      <c r="B165" s="56" t="s">
        <v>297</v>
      </c>
      <c r="C165" s="56" t="s">
        <v>290</v>
      </c>
      <c r="D165" s="57"/>
      <c r="E165" s="57"/>
      <c r="F165" s="57"/>
      <c r="H165" s="59"/>
    </row>
    <row r="166" spans="1:8" ht="14.25" customHeight="1" x14ac:dyDescent="0.25">
      <c r="A166" s="55" t="s">
        <v>428</v>
      </c>
      <c r="B166" s="56" t="s">
        <v>297</v>
      </c>
      <c r="C166" s="56" t="s">
        <v>290</v>
      </c>
      <c r="D166" s="57"/>
      <c r="E166" s="57"/>
      <c r="F166" s="57"/>
      <c r="H166" s="59"/>
    </row>
    <row r="167" spans="1:8" ht="14.25" customHeight="1" x14ac:dyDescent="0.25">
      <c r="A167" s="55" t="s">
        <v>429</v>
      </c>
      <c r="B167" s="56" t="s">
        <v>297</v>
      </c>
      <c r="C167" s="56" t="s">
        <v>290</v>
      </c>
      <c r="D167" s="57"/>
      <c r="E167" s="57"/>
      <c r="F167" s="57"/>
      <c r="H167" s="59"/>
    </row>
    <row r="168" spans="1:8" ht="14.25" customHeight="1" x14ac:dyDescent="0.25">
      <c r="A168" s="55" t="s">
        <v>430</v>
      </c>
      <c r="B168" s="56" t="s">
        <v>297</v>
      </c>
      <c r="C168" s="56" t="s">
        <v>290</v>
      </c>
      <c r="D168" s="57"/>
      <c r="E168" s="57"/>
      <c r="F168" s="57"/>
      <c r="H168" s="59"/>
    </row>
    <row r="169" spans="1:8" ht="14.25" customHeight="1" x14ac:dyDescent="0.25">
      <c r="A169" s="55" t="s">
        <v>431</v>
      </c>
      <c r="B169" s="56" t="s">
        <v>297</v>
      </c>
      <c r="C169" s="56" t="s">
        <v>290</v>
      </c>
      <c r="D169" s="57"/>
      <c r="E169" s="57"/>
      <c r="F169" s="57"/>
      <c r="H169" s="59"/>
    </row>
    <row r="170" spans="1:8" ht="14.25" customHeight="1" x14ac:dyDescent="0.25">
      <c r="A170" s="55" t="s">
        <v>432</v>
      </c>
      <c r="B170" s="56" t="s">
        <v>297</v>
      </c>
      <c r="C170" s="56" t="s">
        <v>290</v>
      </c>
      <c r="D170" s="57"/>
      <c r="E170" s="57"/>
      <c r="F170" s="57"/>
      <c r="H170" s="59"/>
    </row>
    <row r="171" spans="1:8" ht="14.25" customHeight="1" x14ac:dyDescent="0.25">
      <c r="A171" s="55" t="s">
        <v>433</v>
      </c>
      <c r="B171" s="56" t="s">
        <v>297</v>
      </c>
      <c r="C171" s="56" t="s">
        <v>290</v>
      </c>
      <c r="D171" s="57"/>
      <c r="E171" s="57"/>
      <c r="F171" s="57"/>
      <c r="H171" s="59"/>
    </row>
    <row r="172" spans="1:8" x14ac:dyDescent="0.25">
      <c r="A172" s="55" t="s">
        <v>434</v>
      </c>
      <c r="B172" s="56" t="s">
        <v>297</v>
      </c>
      <c r="C172" s="56" t="s">
        <v>290</v>
      </c>
      <c r="D172" s="64"/>
      <c r="E172" s="64"/>
      <c r="F172" s="64"/>
      <c r="H172" s="59"/>
    </row>
    <row r="173" spans="1:8" s="61" customFormat="1" x14ac:dyDescent="0.25">
      <c r="A173" s="55" t="s">
        <v>435</v>
      </c>
      <c r="B173" s="56" t="s">
        <v>297</v>
      </c>
      <c r="C173" s="56" t="s">
        <v>290</v>
      </c>
      <c r="D173" s="57"/>
      <c r="E173" s="57"/>
      <c r="F173" s="57"/>
      <c r="G173" s="60"/>
      <c r="H173" s="60"/>
    </row>
    <row r="174" spans="1:8" s="61" customFormat="1" x14ac:dyDescent="0.25">
      <c r="A174" s="55" t="s">
        <v>436</v>
      </c>
      <c r="B174" s="56" t="s">
        <v>297</v>
      </c>
      <c r="C174" s="56" t="s">
        <v>290</v>
      </c>
      <c r="D174" s="57"/>
      <c r="E174" s="57"/>
      <c r="F174" s="57"/>
      <c r="G174" s="60"/>
      <c r="H174" s="60"/>
    </row>
    <row r="175" spans="1:8" s="61" customFormat="1" x14ac:dyDescent="0.25">
      <c r="A175" s="55" t="s">
        <v>437</v>
      </c>
      <c r="B175" s="56" t="s">
        <v>297</v>
      </c>
      <c r="C175" s="56" t="s">
        <v>290</v>
      </c>
      <c r="D175" s="57"/>
      <c r="E175" s="57"/>
      <c r="F175" s="57"/>
      <c r="G175" s="60"/>
      <c r="H175" s="60"/>
    </row>
    <row r="176" spans="1:8" s="61" customFormat="1" ht="30" x14ac:dyDescent="0.25">
      <c r="A176" s="55" t="s">
        <v>465</v>
      </c>
      <c r="B176" s="56" t="s">
        <v>297</v>
      </c>
      <c r="C176" s="56" t="s">
        <v>290</v>
      </c>
      <c r="D176" s="57">
        <f>19800+26880+4860</f>
        <v>51540</v>
      </c>
      <c r="E176" s="57">
        <v>19800</v>
      </c>
      <c r="F176" s="57">
        <v>19800</v>
      </c>
      <c r="G176" s="60"/>
      <c r="H176" s="60"/>
    </row>
    <row r="177" spans="1:8" s="61" customFormat="1" x14ac:dyDescent="0.25">
      <c r="A177" s="55" t="s">
        <v>467</v>
      </c>
      <c r="B177" s="56" t="s">
        <v>297</v>
      </c>
      <c r="C177" s="56" t="s">
        <v>290</v>
      </c>
      <c r="D177" s="57">
        <f>198000+322560+48600</f>
        <v>569160</v>
      </c>
      <c r="E177" s="57">
        <v>198000</v>
      </c>
      <c r="F177" s="57">
        <v>198000</v>
      </c>
      <c r="G177" s="60"/>
      <c r="H177" s="60"/>
    </row>
    <row r="178" spans="1:8" s="61" customFormat="1" x14ac:dyDescent="0.25">
      <c r="A178" s="55" t="s">
        <v>468</v>
      </c>
      <c r="B178" s="56" t="s">
        <v>297</v>
      </c>
      <c r="C178" s="56" t="s">
        <v>290</v>
      </c>
      <c r="D178" s="57"/>
      <c r="E178" s="57"/>
      <c r="F178" s="57"/>
      <c r="G178" s="60"/>
      <c r="H178" s="60"/>
    </row>
    <row r="179" spans="1:8" s="238" customFormat="1" x14ac:dyDescent="0.25">
      <c r="A179" s="62" t="s">
        <v>633</v>
      </c>
      <c r="B179" s="63" t="s">
        <v>297</v>
      </c>
      <c r="C179" s="63" t="s">
        <v>634</v>
      </c>
      <c r="D179" s="64"/>
      <c r="E179" s="64"/>
      <c r="F179" s="64"/>
      <c r="G179" s="237"/>
      <c r="H179" s="237"/>
    </row>
    <row r="180" spans="1:8" s="140" customFormat="1" x14ac:dyDescent="0.25">
      <c r="A180" s="62" t="s">
        <v>334</v>
      </c>
      <c r="B180" s="63" t="s">
        <v>335</v>
      </c>
      <c r="C180" s="63" t="s">
        <v>336</v>
      </c>
      <c r="D180" s="64"/>
      <c r="E180" s="57"/>
      <c r="F180" s="57"/>
      <c r="H180" s="139"/>
    </row>
    <row r="181" spans="1:8" s="40" customFormat="1" ht="15" customHeight="1" x14ac:dyDescent="0.25">
      <c r="A181" s="62" t="s">
        <v>330</v>
      </c>
      <c r="B181" s="63" t="s">
        <v>332</v>
      </c>
      <c r="C181" s="63" t="s">
        <v>463</v>
      </c>
      <c r="D181" s="64"/>
      <c r="E181" s="57"/>
      <c r="F181" s="57"/>
      <c r="G181" s="66"/>
      <c r="H181" s="66"/>
    </row>
    <row r="182" spans="1:8" s="40" customFormat="1" x14ac:dyDescent="0.25">
      <c r="A182" s="62" t="s">
        <v>438</v>
      </c>
      <c r="B182" s="63"/>
      <c r="C182" s="63"/>
      <c r="D182" s="57"/>
      <c r="E182" s="57"/>
      <c r="F182" s="57"/>
      <c r="G182" s="66"/>
      <c r="H182" s="66"/>
    </row>
    <row r="183" spans="1:8" s="140" customFormat="1" ht="14.25" x14ac:dyDescent="0.2">
      <c r="A183" s="136" t="s">
        <v>340</v>
      </c>
      <c r="B183" s="137" t="s">
        <v>297</v>
      </c>
      <c r="C183" s="63" t="s">
        <v>341</v>
      </c>
      <c r="D183" s="64">
        <f>SUM(D185:D197)</f>
        <v>167968</v>
      </c>
      <c r="E183" s="64">
        <f t="shared" ref="E183:F183" si="42">SUM(E185:E197)</f>
        <v>67437</v>
      </c>
      <c r="F183" s="64">
        <f t="shared" si="42"/>
        <v>67437</v>
      </c>
      <c r="G183" s="139"/>
      <c r="H183" s="139"/>
    </row>
    <row r="184" spans="1:8" ht="15" customHeight="1" x14ac:dyDescent="0.25">
      <c r="A184" s="55" t="s">
        <v>311</v>
      </c>
      <c r="B184" s="56"/>
      <c r="C184" s="56"/>
      <c r="D184" s="57"/>
      <c r="E184" s="57"/>
      <c r="F184" s="57"/>
      <c r="G184" s="59"/>
      <c r="H184" s="59"/>
    </row>
    <row r="185" spans="1:8" s="61" customFormat="1" ht="15" customHeight="1" x14ac:dyDescent="0.25">
      <c r="A185" s="67" t="s">
        <v>439</v>
      </c>
      <c r="B185" s="68" t="s">
        <v>297</v>
      </c>
      <c r="C185" s="56" t="s">
        <v>341</v>
      </c>
      <c r="D185" s="57">
        <f>67437+100531</f>
        <v>167968</v>
      </c>
      <c r="E185" s="246">
        <v>67437</v>
      </c>
      <c r="F185" s="246">
        <v>67437</v>
      </c>
      <c r="G185" s="60"/>
      <c r="H185" s="60"/>
    </row>
    <row r="186" spans="1:8" s="61" customFormat="1" ht="15" customHeight="1" x14ac:dyDescent="0.25">
      <c r="A186" s="67" t="s">
        <v>440</v>
      </c>
      <c r="B186" s="68" t="s">
        <v>297</v>
      </c>
      <c r="C186" s="56" t="s">
        <v>341</v>
      </c>
      <c r="D186" s="57"/>
      <c r="E186" s="57"/>
      <c r="F186" s="57"/>
      <c r="G186" s="60"/>
      <c r="H186" s="60"/>
    </row>
    <row r="187" spans="1:8" s="61" customFormat="1" ht="15" customHeight="1" x14ac:dyDescent="0.25">
      <c r="A187" s="67" t="s">
        <v>441</v>
      </c>
      <c r="B187" s="68" t="s">
        <v>297</v>
      </c>
      <c r="C187" s="56" t="s">
        <v>341</v>
      </c>
      <c r="D187" s="57"/>
      <c r="E187" s="57"/>
      <c r="F187" s="57"/>
      <c r="G187" s="60"/>
      <c r="H187" s="60"/>
    </row>
    <row r="188" spans="1:8" s="61" customFormat="1" ht="15" customHeight="1" x14ac:dyDescent="0.25">
      <c r="A188" s="67" t="s">
        <v>442</v>
      </c>
      <c r="B188" s="68" t="s">
        <v>297</v>
      </c>
      <c r="C188" s="56" t="s">
        <v>341</v>
      </c>
      <c r="D188" s="57"/>
      <c r="E188" s="57"/>
      <c r="F188" s="57"/>
      <c r="G188" s="60"/>
      <c r="H188" s="60"/>
    </row>
    <row r="189" spans="1:8" s="40" customFormat="1" x14ac:dyDescent="0.25">
      <c r="A189" s="138" t="s">
        <v>443</v>
      </c>
      <c r="B189" s="73" t="s">
        <v>297</v>
      </c>
      <c r="C189" s="73" t="s">
        <v>341</v>
      </c>
      <c r="D189" s="57"/>
      <c r="E189" s="57"/>
      <c r="F189" s="57"/>
    </row>
    <row r="190" spans="1:8" x14ac:dyDescent="0.25">
      <c r="A190" s="55" t="s">
        <v>444</v>
      </c>
      <c r="B190" s="56" t="s">
        <v>297</v>
      </c>
      <c r="C190" s="56" t="s">
        <v>341</v>
      </c>
      <c r="D190" s="57"/>
      <c r="E190" s="57"/>
      <c r="F190" s="57"/>
      <c r="G190" s="59"/>
    </row>
    <row r="191" spans="1:8" x14ac:dyDescent="0.25">
      <c r="A191" s="55" t="s">
        <v>445</v>
      </c>
      <c r="B191" s="56" t="s">
        <v>297</v>
      </c>
      <c r="C191" s="56" t="s">
        <v>341</v>
      </c>
      <c r="D191" s="57"/>
      <c r="E191" s="57"/>
      <c r="F191" s="57"/>
      <c r="G191" s="59"/>
    </row>
    <row r="192" spans="1:8" s="61" customFormat="1" x14ac:dyDescent="0.25">
      <c r="A192" s="55" t="s">
        <v>446</v>
      </c>
      <c r="B192" s="56" t="s">
        <v>297</v>
      </c>
      <c r="C192" s="56" t="s">
        <v>341</v>
      </c>
      <c r="D192" s="57"/>
      <c r="E192" s="57"/>
      <c r="F192" s="57"/>
      <c r="G192" s="60"/>
      <c r="H192" s="60"/>
    </row>
    <row r="193" spans="1:8" s="61" customFormat="1" x14ac:dyDescent="0.25">
      <c r="A193" s="55" t="s">
        <v>447</v>
      </c>
      <c r="B193" s="56" t="s">
        <v>297</v>
      </c>
      <c r="C193" s="56" t="s">
        <v>341</v>
      </c>
      <c r="D193" s="57"/>
      <c r="E193" s="57"/>
      <c r="F193" s="57"/>
      <c r="G193" s="60"/>
      <c r="H193" s="60"/>
    </row>
    <row r="194" spans="1:8" s="61" customFormat="1" x14ac:dyDescent="0.25">
      <c r="A194" s="55" t="s">
        <v>448</v>
      </c>
      <c r="B194" s="56" t="s">
        <v>297</v>
      </c>
      <c r="C194" s="56" t="s">
        <v>341</v>
      </c>
      <c r="D194" s="57"/>
      <c r="E194" s="57"/>
      <c r="F194" s="57"/>
      <c r="G194" s="60"/>
      <c r="H194" s="60"/>
    </row>
    <row r="195" spans="1:8" x14ac:dyDescent="0.25">
      <c r="A195" s="55" t="s">
        <v>449</v>
      </c>
      <c r="B195" s="56" t="s">
        <v>297</v>
      </c>
      <c r="C195" s="56" t="s">
        <v>341</v>
      </c>
      <c r="D195" s="57"/>
      <c r="E195" s="57"/>
      <c r="F195" s="57"/>
      <c r="G195" s="59"/>
    </row>
    <row r="196" spans="1:8" s="40" customFormat="1" x14ac:dyDescent="0.2">
      <c r="A196" s="55" t="s">
        <v>450</v>
      </c>
      <c r="B196" s="56" t="s">
        <v>297</v>
      </c>
      <c r="C196" s="56" t="s">
        <v>341</v>
      </c>
      <c r="D196" s="64"/>
      <c r="E196" s="64"/>
      <c r="F196" s="64"/>
      <c r="G196" s="66"/>
    </row>
    <row r="197" spans="1:8" x14ac:dyDescent="0.25">
      <c r="A197" s="55" t="s">
        <v>451</v>
      </c>
      <c r="B197" s="56" t="s">
        <v>297</v>
      </c>
      <c r="C197" s="56" t="s">
        <v>341</v>
      </c>
      <c r="D197" s="57"/>
      <c r="E197" s="57"/>
      <c r="F197" s="57"/>
      <c r="G197" s="59"/>
      <c r="H197" s="59"/>
    </row>
    <row r="198" spans="1:8" s="40" customFormat="1" ht="14.25" x14ac:dyDescent="0.2">
      <c r="A198" s="62" t="s">
        <v>342</v>
      </c>
      <c r="B198" s="63" t="s">
        <v>297</v>
      </c>
      <c r="C198" s="63" t="s">
        <v>343</v>
      </c>
      <c r="D198" s="65">
        <f>SUM(D200:D210)</f>
        <v>76079.58</v>
      </c>
      <c r="E198" s="65">
        <f t="shared" ref="E198:F198" si="43">SUM(E200:E210)</f>
        <v>0</v>
      </c>
      <c r="F198" s="65">
        <f t="shared" si="43"/>
        <v>0</v>
      </c>
      <c r="G198" s="66"/>
      <c r="H198" s="66"/>
    </row>
    <row r="199" spans="1:8" ht="15" customHeight="1" x14ac:dyDescent="0.25">
      <c r="A199" s="55" t="s">
        <v>311</v>
      </c>
      <c r="B199" s="56"/>
      <c r="C199" s="56"/>
      <c r="D199" s="57"/>
      <c r="E199" s="57"/>
      <c r="F199" s="57"/>
      <c r="G199" s="59"/>
      <c r="H199" s="59"/>
    </row>
    <row r="200" spans="1:8" s="61" customFormat="1" ht="15" customHeight="1" x14ac:dyDescent="0.25">
      <c r="A200" s="67" t="s">
        <v>773</v>
      </c>
      <c r="B200" s="68" t="s">
        <v>297</v>
      </c>
      <c r="C200" s="56" t="s">
        <v>343</v>
      </c>
      <c r="D200" s="57">
        <v>16557</v>
      </c>
      <c r="E200" s="57"/>
      <c r="F200" s="57"/>
      <c r="G200" s="60"/>
      <c r="H200" s="60"/>
    </row>
    <row r="201" spans="1:8" s="61" customFormat="1" ht="15" customHeight="1" x14ac:dyDescent="0.25">
      <c r="A201" s="67" t="s">
        <v>453</v>
      </c>
      <c r="B201" s="68" t="s">
        <v>297</v>
      </c>
      <c r="C201" s="56" t="s">
        <v>343</v>
      </c>
      <c r="D201" s="57">
        <v>26880</v>
      </c>
      <c r="E201" s="57"/>
      <c r="F201" s="57"/>
      <c r="G201" s="60"/>
      <c r="H201" s="60"/>
    </row>
    <row r="202" spans="1:8" s="61" customFormat="1" ht="15" customHeight="1" x14ac:dyDescent="0.25">
      <c r="A202" s="67" t="s">
        <v>454</v>
      </c>
      <c r="B202" s="68" t="s">
        <v>297</v>
      </c>
      <c r="C202" s="56" t="s">
        <v>343</v>
      </c>
      <c r="D202" s="57"/>
      <c r="E202" s="57"/>
      <c r="F202" s="57"/>
      <c r="G202" s="60"/>
      <c r="H202" s="60"/>
    </row>
    <row r="203" spans="1:8" s="61" customFormat="1" ht="15" customHeight="1" x14ac:dyDescent="0.25">
      <c r="A203" s="67" t="s">
        <v>455</v>
      </c>
      <c r="B203" s="68" t="s">
        <v>297</v>
      </c>
      <c r="C203" s="56" t="s">
        <v>343</v>
      </c>
      <c r="D203" s="57"/>
      <c r="E203" s="57"/>
      <c r="F203" s="57"/>
      <c r="G203" s="60"/>
      <c r="H203" s="60"/>
    </row>
    <row r="204" spans="1:8" s="61" customFormat="1" ht="15" customHeight="1" x14ac:dyDescent="0.25">
      <c r="A204" s="67" t="s">
        <v>456</v>
      </c>
      <c r="B204" s="68" t="s">
        <v>297</v>
      </c>
      <c r="C204" s="56" t="s">
        <v>343</v>
      </c>
      <c r="D204" s="57"/>
      <c r="E204" s="57"/>
      <c r="F204" s="57"/>
      <c r="G204" s="60"/>
      <c r="H204" s="60"/>
    </row>
    <row r="205" spans="1:8" s="61" customFormat="1" ht="15" customHeight="1" x14ac:dyDescent="0.25">
      <c r="A205" s="67" t="s">
        <v>457</v>
      </c>
      <c r="B205" s="68" t="s">
        <v>297</v>
      </c>
      <c r="C205" s="56" t="s">
        <v>343</v>
      </c>
      <c r="D205" s="57"/>
      <c r="E205" s="57"/>
      <c r="F205" s="57"/>
      <c r="G205" s="60"/>
      <c r="H205" s="60"/>
    </row>
    <row r="206" spans="1:8" s="61" customFormat="1" ht="15" customHeight="1" x14ac:dyDescent="0.25">
      <c r="A206" s="67" t="s">
        <v>458</v>
      </c>
      <c r="B206" s="68" t="s">
        <v>297</v>
      </c>
      <c r="C206" s="56" t="s">
        <v>343</v>
      </c>
      <c r="D206" s="57"/>
      <c r="E206" s="57"/>
      <c r="F206" s="57"/>
      <c r="G206" s="60"/>
      <c r="H206" s="60"/>
    </row>
    <row r="207" spans="1:8" s="61" customFormat="1" ht="15" customHeight="1" x14ac:dyDescent="0.25">
      <c r="A207" s="67" t="s">
        <v>459</v>
      </c>
      <c r="B207" s="68" t="s">
        <v>297</v>
      </c>
      <c r="C207" s="56" t="s">
        <v>343</v>
      </c>
      <c r="D207" s="57"/>
      <c r="E207" s="57"/>
      <c r="F207" s="57"/>
      <c r="G207" s="60"/>
      <c r="H207" s="60"/>
    </row>
    <row r="208" spans="1:8" s="61" customFormat="1" ht="15" customHeight="1" x14ac:dyDescent="0.25">
      <c r="A208" s="67" t="s">
        <v>460</v>
      </c>
      <c r="B208" s="68" t="s">
        <v>297</v>
      </c>
      <c r="C208" s="56" t="s">
        <v>343</v>
      </c>
      <c r="D208" s="57"/>
      <c r="E208" s="57"/>
      <c r="F208" s="57"/>
      <c r="G208" s="60"/>
      <c r="H208" s="60"/>
    </row>
    <row r="209" spans="1:8" s="61" customFormat="1" ht="15" customHeight="1" x14ac:dyDescent="0.25">
      <c r="A209" s="67" t="s">
        <v>624</v>
      </c>
      <c r="B209" s="68" t="s">
        <v>297</v>
      </c>
      <c r="C209" s="56" t="s">
        <v>343</v>
      </c>
      <c r="D209" s="57"/>
      <c r="E209" s="57"/>
      <c r="F209" s="57"/>
      <c r="G209" s="60"/>
      <c r="H209" s="60"/>
    </row>
    <row r="210" spans="1:8" s="61" customFormat="1" ht="15" customHeight="1" x14ac:dyDescent="0.25">
      <c r="A210" s="67" t="s">
        <v>462</v>
      </c>
      <c r="B210" s="68" t="s">
        <v>297</v>
      </c>
      <c r="C210" s="56" t="s">
        <v>343</v>
      </c>
      <c r="D210" s="57">
        <v>32642.58</v>
      </c>
      <c r="E210" s="57"/>
      <c r="F210" s="57"/>
      <c r="G210" s="60"/>
      <c r="H210" s="60"/>
    </row>
    <row r="211" spans="1:8" s="40" customFormat="1" ht="18" customHeight="1" x14ac:dyDescent="0.2">
      <c r="A211" s="159" t="s">
        <v>464</v>
      </c>
      <c r="B211" s="160"/>
      <c r="C211" s="160"/>
      <c r="D211" s="161">
        <f>D212+D213+D214+D219+D220+D236+D255+D274+D256+D257+D258+D259</f>
        <v>1067420.19</v>
      </c>
      <c r="E211" s="161">
        <f t="shared" ref="E211:F211" si="44">E212+E213+E214+E219+E220+E236+E255+E274+E256+E257+E258+E259</f>
        <v>770780</v>
      </c>
      <c r="F211" s="161">
        <f t="shared" si="44"/>
        <v>770780</v>
      </c>
    </row>
    <row r="212" spans="1:8" s="40" customFormat="1" ht="14.25" x14ac:dyDescent="0.2">
      <c r="A212" s="62" t="s">
        <v>296</v>
      </c>
      <c r="B212" s="63" t="s">
        <v>297</v>
      </c>
      <c r="C212" s="63" t="s">
        <v>298</v>
      </c>
      <c r="D212" s="64">
        <v>1000</v>
      </c>
      <c r="E212" s="64">
        <v>1000</v>
      </c>
      <c r="F212" s="64">
        <v>1000</v>
      </c>
      <c r="G212" s="66"/>
    </row>
    <row r="213" spans="1:8" s="140" customFormat="1" ht="14.25" x14ac:dyDescent="0.2">
      <c r="A213" s="62" t="s">
        <v>302</v>
      </c>
      <c r="B213" s="63" t="s">
        <v>297</v>
      </c>
      <c r="C213" s="63" t="s">
        <v>303</v>
      </c>
      <c r="D213" s="64"/>
      <c r="E213" s="64"/>
      <c r="F213" s="64"/>
      <c r="H213" s="139"/>
    </row>
    <row r="214" spans="1:8" s="41" customFormat="1" ht="28.5" x14ac:dyDescent="0.2">
      <c r="A214" s="62" t="s">
        <v>410</v>
      </c>
      <c r="B214" s="63" t="s">
        <v>752</v>
      </c>
      <c r="C214" s="63" t="s">
        <v>305</v>
      </c>
      <c r="D214" s="64">
        <f>SUM(D215:D218)</f>
        <v>0</v>
      </c>
      <c r="E214" s="64">
        <f t="shared" ref="E214:F214" si="45">SUM(E215:E218)</f>
        <v>0</v>
      </c>
      <c r="F214" s="64">
        <f t="shared" si="45"/>
        <v>0</v>
      </c>
      <c r="G214" s="265"/>
      <c r="H214" s="265"/>
    </row>
    <row r="215" spans="1:8" s="41" customFormat="1" x14ac:dyDescent="0.2">
      <c r="A215" s="67" t="s">
        <v>748</v>
      </c>
      <c r="B215" s="68" t="s">
        <v>749</v>
      </c>
      <c r="C215" s="56" t="s">
        <v>305</v>
      </c>
      <c r="D215" s="64"/>
      <c r="E215" s="64"/>
      <c r="F215" s="64"/>
      <c r="G215" s="265"/>
      <c r="H215" s="265"/>
    </row>
    <row r="216" spans="1:8" s="41" customFormat="1" x14ac:dyDescent="0.2">
      <c r="A216" s="67" t="s">
        <v>750</v>
      </c>
      <c r="B216" s="68" t="s">
        <v>749</v>
      </c>
      <c r="C216" s="56" t="s">
        <v>305</v>
      </c>
      <c r="D216" s="64"/>
      <c r="E216" s="64"/>
      <c r="F216" s="64"/>
      <c r="G216" s="265"/>
      <c r="H216" s="265"/>
    </row>
    <row r="217" spans="1:8" s="41" customFormat="1" x14ac:dyDescent="0.2">
      <c r="A217" s="67" t="s">
        <v>751</v>
      </c>
      <c r="B217" s="68" t="s">
        <v>297</v>
      </c>
      <c r="C217" s="56" t="s">
        <v>305</v>
      </c>
      <c r="D217" s="64"/>
      <c r="E217" s="64"/>
      <c r="F217" s="64"/>
      <c r="G217" s="265"/>
      <c r="H217" s="265"/>
    </row>
    <row r="218" spans="1:8" s="41" customFormat="1" x14ac:dyDescent="0.2">
      <c r="A218" s="67" t="s">
        <v>748</v>
      </c>
      <c r="B218" s="68" t="s">
        <v>297</v>
      </c>
      <c r="C218" s="56" t="s">
        <v>305</v>
      </c>
      <c r="D218" s="64"/>
      <c r="E218" s="64"/>
      <c r="F218" s="64"/>
      <c r="G218" s="265"/>
      <c r="H218" s="265"/>
    </row>
    <row r="219" spans="1:8" s="140" customFormat="1" ht="14.25" x14ac:dyDescent="0.2">
      <c r="A219" s="136" t="s">
        <v>307</v>
      </c>
      <c r="B219" s="137" t="s">
        <v>297</v>
      </c>
      <c r="C219" s="63" t="s">
        <v>308</v>
      </c>
      <c r="D219" s="64"/>
      <c r="E219" s="64"/>
      <c r="F219" s="64"/>
      <c r="G219" s="139"/>
      <c r="H219" s="139"/>
    </row>
    <row r="220" spans="1:8" s="40" customFormat="1" ht="18" customHeight="1" x14ac:dyDescent="0.2">
      <c r="A220" s="62" t="s">
        <v>309</v>
      </c>
      <c r="B220" s="63" t="s">
        <v>297</v>
      </c>
      <c r="C220" s="63" t="s">
        <v>310</v>
      </c>
      <c r="D220" s="65">
        <f>SUM(D221:D235)</f>
        <v>18480</v>
      </c>
      <c r="E220" s="65">
        <f t="shared" ref="E220:F220" si="46">SUM(E221:E235)</f>
        <v>18480</v>
      </c>
      <c r="F220" s="65">
        <f t="shared" si="46"/>
        <v>18480</v>
      </c>
      <c r="G220" s="66"/>
      <c r="H220" s="66"/>
    </row>
    <row r="221" spans="1:8" ht="15" customHeight="1" x14ac:dyDescent="0.25">
      <c r="A221" s="55" t="s">
        <v>311</v>
      </c>
      <c r="B221" s="56" t="s">
        <v>297</v>
      </c>
      <c r="C221" s="56" t="s">
        <v>310</v>
      </c>
      <c r="D221" s="57"/>
      <c r="E221" s="57"/>
      <c r="F221" s="57"/>
      <c r="G221" s="59"/>
      <c r="H221" s="59"/>
    </row>
    <row r="222" spans="1:8" s="69" customFormat="1" ht="15" customHeight="1" x14ac:dyDescent="0.25">
      <c r="A222" s="55" t="s">
        <v>411</v>
      </c>
      <c r="B222" s="56" t="s">
        <v>297</v>
      </c>
      <c r="C222" s="56" t="s">
        <v>310</v>
      </c>
      <c r="D222" s="57"/>
      <c r="E222" s="57"/>
      <c r="F222" s="57"/>
      <c r="H222" s="70"/>
    </row>
    <row r="223" spans="1:8" ht="15" customHeight="1" x14ac:dyDescent="0.25">
      <c r="A223" s="55" t="s">
        <v>412</v>
      </c>
      <c r="B223" s="56" t="s">
        <v>297</v>
      </c>
      <c r="C223" s="56" t="s">
        <v>310</v>
      </c>
      <c r="D223" s="57">
        <v>4500</v>
      </c>
      <c r="E223" s="57">
        <v>4500</v>
      </c>
      <c r="F223" s="57">
        <v>4500</v>
      </c>
      <c r="G223" s="59"/>
      <c r="H223" s="59"/>
    </row>
    <row r="224" spans="1:8" ht="15" customHeight="1" x14ac:dyDescent="0.25">
      <c r="A224" s="55" t="s">
        <v>413</v>
      </c>
      <c r="B224" s="56" t="s">
        <v>297</v>
      </c>
      <c r="C224" s="56" t="s">
        <v>310</v>
      </c>
      <c r="D224" s="57"/>
      <c r="E224" s="57"/>
      <c r="F224" s="57"/>
      <c r="G224" s="59"/>
      <c r="H224" s="59"/>
    </row>
    <row r="225" spans="1:8" ht="15" customHeight="1" x14ac:dyDescent="0.25">
      <c r="A225" s="55" t="s">
        <v>743</v>
      </c>
      <c r="B225" s="56" t="s">
        <v>297</v>
      </c>
      <c r="C225" s="56" t="s">
        <v>310</v>
      </c>
      <c r="D225" s="57">
        <f>2280+2700</f>
        <v>4980</v>
      </c>
      <c r="E225" s="57">
        <f t="shared" ref="E225:F225" si="47">2280+2700</f>
        <v>4980</v>
      </c>
      <c r="F225" s="57">
        <f t="shared" si="47"/>
        <v>4980</v>
      </c>
      <c r="H225" s="59"/>
    </row>
    <row r="226" spans="1:8" ht="15" customHeight="1" x14ac:dyDescent="0.25">
      <c r="A226" s="55" t="s">
        <v>415</v>
      </c>
      <c r="B226" s="56" t="s">
        <v>297</v>
      </c>
      <c r="C226" s="56" t="s">
        <v>310</v>
      </c>
      <c r="D226" s="57"/>
      <c r="E226" s="57"/>
      <c r="F226" s="57"/>
      <c r="H226" s="59"/>
    </row>
    <row r="227" spans="1:8" ht="15" customHeight="1" x14ac:dyDescent="0.25">
      <c r="A227" s="55" t="s">
        <v>416</v>
      </c>
      <c r="B227" s="56" t="s">
        <v>297</v>
      </c>
      <c r="C227" s="56" t="s">
        <v>310</v>
      </c>
      <c r="D227" s="57"/>
      <c r="E227" s="57"/>
      <c r="F227" s="57"/>
      <c r="H227" s="59"/>
    </row>
    <row r="228" spans="1:8" ht="15" customHeight="1" x14ac:dyDescent="0.25">
      <c r="A228" s="55" t="s">
        <v>417</v>
      </c>
      <c r="B228" s="56" t="s">
        <v>297</v>
      </c>
      <c r="C228" s="56" t="s">
        <v>310</v>
      </c>
      <c r="D228" s="57"/>
      <c r="E228" s="57"/>
      <c r="F228" s="57"/>
      <c r="H228" s="59"/>
    </row>
    <row r="229" spans="1:8" ht="15" customHeight="1" x14ac:dyDescent="0.25">
      <c r="A229" s="55" t="s">
        <v>418</v>
      </c>
      <c r="B229" s="56" t="s">
        <v>297</v>
      </c>
      <c r="C229" s="56" t="s">
        <v>310</v>
      </c>
      <c r="D229" s="57"/>
      <c r="E229" s="57"/>
      <c r="F229" s="57"/>
      <c r="H229" s="59"/>
    </row>
    <row r="230" spans="1:8" ht="15" customHeight="1" x14ac:dyDescent="0.25">
      <c r="A230" s="55" t="s">
        <v>419</v>
      </c>
      <c r="B230" s="56" t="s">
        <v>297</v>
      </c>
      <c r="C230" s="56" t="s">
        <v>310</v>
      </c>
      <c r="D230" s="57">
        <v>9000</v>
      </c>
      <c r="E230" s="57">
        <v>9000</v>
      </c>
      <c r="F230" s="57">
        <v>9000</v>
      </c>
      <c r="H230" s="59"/>
    </row>
    <row r="231" spans="1:8" ht="15" customHeight="1" x14ac:dyDescent="0.25">
      <c r="A231" s="55" t="s">
        <v>420</v>
      </c>
      <c r="B231" s="56" t="s">
        <v>297</v>
      </c>
      <c r="C231" s="56" t="s">
        <v>310</v>
      </c>
      <c r="D231" s="57"/>
      <c r="E231" s="57"/>
      <c r="F231" s="57"/>
      <c r="H231" s="59"/>
    </row>
    <row r="232" spans="1:8" ht="15" customHeight="1" x14ac:dyDescent="0.25">
      <c r="A232" s="55" t="s">
        <v>421</v>
      </c>
      <c r="B232" s="56" t="s">
        <v>297</v>
      </c>
      <c r="C232" s="56" t="s">
        <v>310</v>
      </c>
      <c r="D232" s="57"/>
      <c r="E232" s="57"/>
      <c r="F232" s="57"/>
      <c r="H232" s="59"/>
    </row>
    <row r="233" spans="1:8" ht="15" customHeight="1" x14ac:dyDescent="0.25">
      <c r="A233" s="55" t="s">
        <v>422</v>
      </c>
      <c r="B233" s="56" t="s">
        <v>297</v>
      </c>
      <c r="C233" s="56" t="s">
        <v>310</v>
      </c>
      <c r="D233" s="57"/>
      <c r="E233" s="57"/>
      <c r="F233" s="57"/>
      <c r="H233" s="59"/>
    </row>
    <row r="234" spans="1:8" ht="15" customHeight="1" x14ac:dyDescent="0.25">
      <c r="A234" s="55" t="s">
        <v>423</v>
      </c>
      <c r="B234" s="56" t="s">
        <v>297</v>
      </c>
      <c r="C234" s="56" t="s">
        <v>310</v>
      </c>
      <c r="D234" s="57"/>
      <c r="E234" s="57"/>
      <c r="F234" s="57"/>
      <c r="H234" s="59"/>
    </row>
    <row r="235" spans="1:8" ht="15" customHeight="1" x14ac:dyDescent="0.25">
      <c r="A235" s="55"/>
      <c r="B235" s="56" t="s">
        <v>297</v>
      </c>
      <c r="C235" s="56" t="s">
        <v>310</v>
      </c>
      <c r="D235" s="57"/>
      <c r="E235" s="57"/>
      <c r="F235" s="57"/>
      <c r="H235" s="59"/>
    </row>
    <row r="236" spans="1:8" s="40" customFormat="1" ht="18" customHeight="1" x14ac:dyDescent="0.2">
      <c r="A236" s="62" t="s">
        <v>322</v>
      </c>
      <c r="B236" s="63" t="s">
        <v>297</v>
      </c>
      <c r="C236" s="63" t="s">
        <v>290</v>
      </c>
      <c r="D236" s="65">
        <f>SUM(D237:D254)</f>
        <v>21020</v>
      </c>
      <c r="E236" s="65">
        <f t="shared" ref="E236:F236" si="48">SUM(E237:E254)</f>
        <v>21020</v>
      </c>
      <c r="F236" s="65">
        <f t="shared" si="48"/>
        <v>21020</v>
      </c>
      <c r="G236" s="66"/>
      <c r="H236" s="66"/>
    </row>
    <row r="237" spans="1:8" s="61" customFormat="1" x14ac:dyDescent="0.25">
      <c r="A237" s="55" t="s">
        <v>424</v>
      </c>
      <c r="B237" s="56" t="s">
        <v>297</v>
      </c>
      <c r="C237" s="56" t="s">
        <v>290</v>
      </c>
      <c r="D237" s="57">
        <v>10020</v>
      </c>
      <c r="E237" s="57">
        <v>10020</v>
      </c>
      <c r="F237" s="57">
        <v>10020</v>
      </c>
      <c r="G237" s="45"/>
      <c r="H237" s="59"/>
    </row>
    <row r="238" spans="1:8" ht="14.25" customHeight="1" x14ac:dyDescent="0.25">
      <c r="A238" s="55" t="s">
        <v>425</v>
      </c>
      <c r="B238" s="56" t="s">
        <v>297</v>
      </c>
      <c r="C238" s="56" t="s">
        <v>290</v>
      </c>
      <c r="D238" s="57">
        <v>4500</v>
      </c>
      <c r="E238" s="57">
        <v>4500</v>
      </c>
      <c r="F238" s="57">
        <v>4500</v>
      </c>
      <c r="H238" s="59"/>
    </row>
    <row r="239" spans="1:8" ht="14.25" customHeight="1" x14ac:dyDescent="0.25">
      <c r="A239" s="55" t="s">
        <v>426</v>
      </c>
      <c r="B239" s="56" t="s">
        <v>297</v>
      </c>
      <c r="C239" s="56" t="s">
        <v>290</v>
      </c>
      <c r="D239" s="57"/>
      <c r="E239" s="57"/>
      <c r="F239" s="57"/>
      <c r="H239" s="59"/>
    </row>
    <row r="240" spans="1:8" ht="14.25" customHeight="1" x14ac:dyDescent="0.25">
      <c r="A240" s="55" t="s">
        <v>427</v>
      </c>
      <c r="B240" s="56" t="s">
        <v>297</v>
      </c>
      <c r="C240" s="56" t="s">
        <v>290</v>
      </c>
      <c r="D240" s="57"/>
      <c r="E240" s="57"/>
      <c r="F240" s="57"/>
      <c r="H240" s="59"/>
    </row>
    <row r="241" spans="1:8" ht="14.25" customHeight="1" x14ac:dyDescent="0.25">
      <c r="A241" s="55" t="s">
        <v>428</v>
      </c>
      <c r="B241" s="56" t="s">
        <v>297</v>
      </c>
      <c r="C241" s="56" t="s">
        <v>290</v>
      </c>
      <c r="D241" s="57"/>
      <c r="E241" s="57"/>
      <c r="F241" s="57"/>
      <c r="H241" s="59"/>
    </row>
    <row r="242" spans="1:8" ht="14.25" customHeight="1" x14ac:dyDescent="0.25">
      <c r="A242" s="55" t="s">
        <v>429</v>
      </c>
      <c r="B242" s="56" t="s">
        <v>297</v>
      </c>
      <c r="C242" s="56" t="s">
        <v>290</v>
      </c>
      <c r="D242" s="57">
        <v>2000</v>
      </c>
      <c r="E242" s="57">
        <v>2000</v>
      </c>
      <c r="F242" s="57">
        <v>2000</v>
      </c>
      <c r="H242" s="59"/>
    </row>
    <row r="243" spans="1:8" ht="14.25" customHeight="1" x14ac:dyDescent="0.25">
      <c r="A243" s="55" t="s">
        <v>430</v>
      </c>
      <c r="B243" s="56" t="s">
        <v>297</v>
      </c>
      <c r="C243" s="56" t="s">
        <v>290</v>
      </c>
      <c r="D243" s="57">
        <v>2000</v>
      </c>
      <c r="E243" s="57">
        <v>2000</v>
      </c>
      <c r="F243" s="57">
        <v>2000</v>
      </c>
      <c r="H243" s="59"/>
    </row>
    <row r="244" spans="1:8" ht="14.25" customHeight="1" x14ac:dyDescent="0.25">
      <c r="A244" s="55" t="s">
        <v>431</v>
      </c>
      <c r="B244" s="56" t="s">
        <v>297</v>
      </c>
      <c r="C244" s="56" t="s">
        <v>290</v>
      </c>
      <c r="D244" s="57"/>
      <c r="E244" s="57"/>
      <c r="F244" s="57"/>
      <c r="H244" s="59"/>
    </row>
    <row r="245" spans="1:8" ht="14.25" customHeight="1" x14ac:dyDescent="0.25">
      <c r="A245" s="55" t="s">
        <v>432</v>
      </c>
      <c r="B245" s="56" t="s">
        <v>297</v>
      </c>
      <c r="C245" s="56" t="s">
        <v>290</v>
      </c>
      <c r="D245" s="57"/>
      <c r="E245" s="57"/>
      <c r="F245" s="57"/>
      <c r="H245" s="59"/>
    </row>
    <row r="246" spans="1:8" ht="14.25" customHeight="1" x14ac:dyDescent="0.25">
      <c r="A246" s="55" t="s">
        <v>433</v>
      </c>
      <c r="B246" s="56" t="s">
        <v>297</v>
      </c>
      <c r="C246" s="56" t="s">
        <v>290</v>
      </c>
      <c r="D246" s="57"/>
      <c r="E246" s="57"/>
      <c r="F246" s="57"/>
      <c r="H246" s="59"/>
    </row>
    <row r="247" spans="1:8" x14ac:dyDescent="0.25">
      <c r="A247" s="55" t="s">
        <v>434</v>
      </c>
      <c r="B247" s="56" t="s">
        <v>297</v>
      </c>
      <c r="C247" s="56" t="s">
        <v>290</v>
      </c>
      <c r="D247" s="64"/>
      <c r="E247" s="64"/>
      <c r="F247" s="64"/>
      <c r="H247" s="59"/>
    </row>
    <row r="248" spans="1:8" s="61" customFormat="1" x14ac:dyDescent="0.25">
      <c r="A248" s="55" t="s">
        <v>435</v>
      </c>
      <c r="B248" s="56" t="s">
        <v>297</v>
      </c>
      <c r="C248" s="56" t="s">
        <v>290</v>
      </c>
      <c r="D248" s="57"/>
      <c r="E248" s="57"/>
      <c r="F248" s="57"/>
      <c r="G248" s="60"/>
      <c r="H248" s="60"/>
    </row>
    <row r="249" spans="1:8" s="61" customFormat="1" x14ac:dyDescent="0.25">
      <c r="A249" s="55" t="s">
        <v>436</v>
      </c>
      <c r="B249" s="56" t="s">
        <v>297</v>
      </c>
      <c r="C249" s="56" t="s">
        <v>290</v>
      </c>
      <c r="D249" s="57">
        <v>2500</v>
      </c>
      <c r="E249" s="57">
        <v>2500</v>
      </c>
      <c r="F249" s="57">
        <v>2500</v>
      </c>
      <c r="G249" s="60"/>
      <c r="H249" s="60"/>
    </row>
    <row r="250" spans="1:8" s="61" customFormat="1" x14ac:dyDescent="0.25">
      <c r="A250" s="55" t="s">
        <v>437</v>
      </c>
      <c r="B250" s="56" t="s">
        <v>297</v>
      </c>
      <c r="C250" s="56" t="s">
        <v>290</v>
      </c>
      <c r="D250" s="57"/>
      <c r="E250" s="57"/>
      <c r="F250" s="57"/>
      <c r="G250" s="60"/>
      <c r="H250" s="60"/>
    </row>
    <row r="251" spans="1:8" s="61" customFormat="1" ht="30" x14ac:dyDescent="0.25">
      <c r="A251" s="55" t="s">
        <v>465</v>
      </c>
      <c r="B251" s="56" t="s">
        <v>297</v>
      </c>
      <c r="C251" s="56" t="s">
        <v>290</v>
      </c>
      <c r="D251" s="57"/>
      <c r="E251" s="57"/>
      <c r="F251" s="57"/>
      <c r="G251" s="60"/>
      <c r="H251" s="60"/>
    </row>
    <row r="252" spans="1:8" s="61" customFormat="1" x14ac:dyDescent="0.25">
      <c r="A252" s="55" t="s">
        <v>467</v>
      </c>
      <c r="B252" s="56" t="s">
        <v>297</v>
      </c>
      <c r="C252" s="56" t="s">
        <v>290</v>
      </c>
      <c r="D252" s="57"/>
      <c r="E252" s="57"/>
      <c r="F252" s="57"/>
      <c r="G252" s="60"/>
      <c r="H252" s="60"/>
    </row>
    <row r="253" spans="1:8" s="61" customFormat="1" x14ac:dyDescent="0.25">
      <c r="A253" s="55" t="s">
        <v>468</v>
      </c>
      <c r="B253" s="56" t="s">
        <v>297</v>
      </c>
      <c r="C253" s="56" t="s">
        <v>290</v>
      </c>
      <c r="D253" s="57"/>
      <c r="E253" s="57"/>
      <c r="F253" s="57"/>
      <c r="G253" s="60"/>
      <c r="H253" s="60"/>
    </row>
    <row r="254" spans="1:8" s="61" customFormat="1" x14ac:dyDescent="0.25">
      <c r="A254" s="55" t="s">
        <v>478</v>
      </c>
      <c r="B254" s="56" t="s">
        <v>297</v>
      </c>
      <c r="C254" s="56" t="s">
        <v>290</v>
      </c>
      <c r="D254" s="57"/>
      <c r="E254" s="57"/>
      <c r="F254" s="57"/>
      <c r="G254" s="60"/>
      <c r="H254" s="60"/>
    </row>
    <row r="255" spans="1:8" s="238" customFormat="1" x14ac:dyDescent="0.25">
      <c r="A255" s="62" t="s">
        <v>633</v>
      </c>
      <c r="B255" s="63" t="s">
        <v>297</v>
      </c>
      <c r="C255" s="63" t="s">
        <v>634</v>
      </c>
      <c r="D255" s="64"/>
      <c r="E255" s="64"/>
      <c r="F255" s="64"/>
      <c r="G255" s="237"/>
      <c r="H255" s="237"/>
    </row>
    <row r="256" spans="1:8" s="140" customFormat="1" ht="14.25" x14ac:dyDescent="0.2">
      <c r="A256" s="62" t="s">
        <v>334</v>
      </c>
      <c r="B256" s="63" t="s">
        <v>335</v>
      </c>
      <c r="C256" s="63" t="s">
        <v>336</v>
      </c>
      <c r="D256" s="64">
        <v>15000</v>
      </c>
      <c r="E256" s="64">
        <v>15000</v>
      </c>
      <c r="F256" s="64">
        <v>15000</v>
      </c>
      <c r="H256" s="139"/>
    </row>
    <row r="257" spans="1:8" s="40" customFormat="1" ht="15" customHeight="1" x14ac:dyDescent="0.2">
      <c r="A257" s="62" t="s">
        <v>330</v>
      </c>
      <c r="B257" s="63" t="s">
        <v>332</v>
      </c>
      <c r="C257" s="63" t="s">
        <v>463</v>
      </c>
      <c r="D257" s="64"/>
      <c r="E257" s="64"/>
      <c r="F257" s="64"/>
      <c r="G257" s="66"/>
      <c r="H257" s="66"/>
    </row>
    <row r="258" spans="1:8" s="40" customFormat="1" ht="14.25" x14ac:dyDescent="0.2">
      <c r="A258" s="62" t="s">
        <v>438</v>
      </c>
      <c r="B258" s="63" t="s">
        <v>297</v>
      </c>
      <c r="C258" s="63" t="s">
        <v>744</v>
      </c>
      <c r="D258" s="64"/>
      <c r="E258" s="64"/>
      <c r="F258" s="64"/>
      <c r="G258" s="66"/>
      <c r="H258" s="66"/>
    </row>
    <row r="259" spans="1:8" s="140" customFormat="1" ht="14.25" x14ac:dyDescent="0.2">
      <c r="A259" s="136" t="s">
        <v>340</v>
      </c>
      <c r="B259" s="137" t="s">
        <v>297</v>
      </c>
      <c r="C259" s="63" t="s">
        <v>341</v>
      </c>
      <c r="D259" s="64">
        <f>SUM(D260:D273)</f>
        <v>527480</v>
      </c>
      <c r="E259" s="64">
        <f t="shared" ref="E259:F259" si="49">SUM(E260:E273)</f>
        <v>527480</v>
      </c>
      <c r="F259" s="64">
        <f t="shared" si="49"/>
        <v>527480</v>
      </c>
      <c r="G259" s="139"/>
      <c r="H259" s="139"/>
    </row>
    <row r="260" spans="1:8" ht="15" customHeight="1" x14ac:dyDescent="0.25">
      <c r="A260" s="55" t="s">
        <v>311</v>
      </c>
      <c r="B260" s="56"/>
      <c r="C260" s="56"/>
      <c r="D260" s="57"/>
      <c r="E260" s="57"/>
      <c r="F260" s="57"/>
      <c r="G260" s="59"/>
      <c r="H260" s="59"/>
    </row>
    <row r="261" spans="1:8" s="61" customFormat="1" ht="15" customHeight="1" x14ac:dyDescent="0.25">
      <c r="A261" s="67" t="s">
        <v>439</v>
      </c>
      <c r="B261" s="68" t="s">
        <v>297</v>
      </c>
      <c r="C261" s="56" t="s">
        <v>341</v>
      </c>
      <c r="D261" s="57">
        <v>140000</v>
      </c>
      <c r="E261" s="57">
        <v>140000</v>
      </c>
      <c r="F261" s="57">
        <v>140000</v>
      </c>
      <c r="G261" s="60"/>
      <c r="H261" s="60"/>
    </row>
    <row r="262" spans="1:8" s="61" customFormat="1" ht="15" customHeight="1" x14ac:dyDescent="0.25">
      <c r="A262" s="67" t="s">
        <v>440</v>
      </c>
      <c r="B262" s="68" t="s">
        <v>297</v>
      </c>
      <c r="C262" s="56" t="s">
        <v>341</v>
      </c>
      <c r="D262" s="57">
        <v>289980</v>
      </c>
      <c r="E262" s="57">
        <v>289980</v>
      </c>
      <c r="F262" s="57">
        <v>289980</v>
      </c>
      <c r="G262" s="60"/>
      <c r="H262" s="60"/>
    </row>
    <row r="263" spans="1:8" s="61" customFormat="1" ht="15" customHeight="1" x14ac:dyDescent="0.25">
      <c r="A263" s="67" t="s">
        <v>441</v>
      </c>
      <c r="B263" s="68" t="s">
        <v>297</v>
      </c>
      <c r="C263" s="56" t="s">
        <v>341</v>
      </c>
      <c r="D263" s="57">
        <v>36000</v>
      </c>
      <c r="E263" s="57">
        <v>36000</v>
      </c>
      <c r="F263" s="57">
        <v>36000</v>
      </c>
      <c r="G263" s="60"/>
      <c r="H263" s="60"/>
    </row>
    <row r="264" spans="1:8" s="61" customFormat="1" ht="15" customHeight="1" x14ac:dyDescent="0.25">
      <c r="A264" s="67" t="s">
        <v>442</v>
      </c>
      <c r="B264" s="68" t="s">
        <v>297</v>
      </c>
      <c r="C264" s="56" t="s">
        <v>341</v>
      </c>
      <c r="D264" s="57">
        <v>16500</v>
      </c>
      <c r="E264" s="57">
        <v>16500</v>
      </c>
      <c r="F264" s="57">
        <v>16500</v>
      </c>
      <c r="G264" s="60"/>
      <c r="H264" s="60"/>
    </row>
    <row r="265" spans="1:8" s="40" customFormat="1" x14ac:dyDescent="0.25">
      <c r="A265" s="138" t="s">
        <v>443</v>
      </c>
      <c r="B265" s="73" t="s">
        <v>297</v>
      </c>
      <c r="C265" s="73" t="s">
        <v>341</v>
      </c>
      <c r="D265" s="57">
        <v>45000</v>
      </c>
      <c r="E265" s="57">
        <v>45000</v>
      </c>
      <c r="F265" s="57">
        <v>45000</v>
      </c>
    </row>
    <row r="266" spans="1:8" x14ac:dyDescent="0.25">
      <c r="A266" s="55" t="s">
        <v>444</v>
      </c>
      <c r="B266" s="56" t="s">
        <v>297</v>
      </c>
      <c r="C266" s="56" t="s">
        <v>341</v>
      </c>
      <c r="D266" s="57"/>
      <c r="E266" s="57"/>
      <c r="F266" s="57"/>
      <c r="G266" s="59"/>
    </row>
    <row r="267" spans="1:8" x14ac:dyDescent="0.25">
      <c r="A267" s="55" t="s">
        <v>445</v>
      </c>
      <c r="B267" s="56" t="s">
        <v>297</v>
      </c>
      <c r="C267" s="56" t="s">
        <v>341</v>
      </c>
      <c r="D267" s="57"/>
      <c r="E267" s="57"/>
      <c r="F267" s="57"/>
      <c r="G267" s="59"/>
    </row>
    <row r="268" spans="1:8" s="61" customFormat="1" x14ac:dyDescent="0.25">
      <c r="A268" s="55" t="s">
        <v>446</v>
      </c>
      <c r="B268" s="56" t="s">
        <v>297</v>
      </c>
      <c r="C268" s="56" t="s">
        <v>341</v>
      </c>
      <c r="D268" s="57"/>
      <c r="E268" s="57"/>
      <c r="F268" s="57"/>
      <c r="G268" s="60"/>
      <c r="H268" s="60"/>
    </row>
    <row r="269" spans="1:8" s="61" customFormat="1" x14ac:dyDescent="0.25">
      <c r="A269" s="55" t="s">
        <v>447</v>
      </c>
      <c r="B269" s="56" t="s">
        <v>297</v>
      </c>
      <c r="C269" s="56" t="s">
        <v>341</v>
      </c>
      <c r="D269" s="57"/>
      <c r="E269" s="57"/>
      <c r="F269" s="57"/>
      <c r="G269" s="60"/>
      <c r="H269" s="60"/>
    </row>
    <row r="270" spans="1:8" s="61" customFormat="1" x14ac:dyDescent="0.25">
      <c r="A270" s="55" t="s">
        <v>448</v>
      </c>
      <c r="B270" s="56" t="s">
        <v>297</v>
      </c>
      <c r="C270" s="56" t="s">
        <v>341</v>
      </c>
      <c r="D270" s="57"/>
      <c r="E270" s="57"/>
      <c r="F270" s="57"/>
      <c r="G270" s="60"/>
      <c r="H270" s="60"/>
    </row>
    <row r="271" spans="1:8" x14ac:dyDescent="0.25">
      <c r="A271" s="55" t="s">
        <v>449</v>
      </c>
      <c r="B271" s="56" t="s">
        <v>297</v>
      </c>
      <c r="C271" s="56" t="s">
        <v>341</v>
      </c>
      <c r="D271" s="57"/>
      <c r="E271" s="57"/>
      <c r="F271" s="57"/>
      <c r="G271" s="59"/>
    </row>
    <row r="272" spans="1:8" s="40" customFormat="1" x14ac:dyDescent="0.2">
      <c r="A272" s="55" t="s">
        <v>450</v>
      </c>
      <c r="B272" s="56" t="s">
        <v>297</v>
      </c>
      <c r="C272" s="56" t="s">
        <v>341</v>
      </c>
      <c r="D272" s="64"/>
      <c r="E272" s="64"/>
      <c r="F272" s="64"/>
      <c r="G272" s="66"/>
    </row>
    <row r="273" spans="1:8" x14ac:dyDescent="0.25">
      <c r="A273" s="55" t="s">
        <v>451</v>
      </c>
      <c r="B273" s="56" t="s">
        <v>297</v>
      </c>
      <c r="C273" s="56" t="s">
        <v>341</v>
      </c>
      <c r="D273" s="57"/>
      <c r="E273" s="57"/>
      <c r="F273" s="57"/>
      <c r="G273" s="59"/>
      <c r="H273" s="59"/>
    </row>
    <row r="274" spans="1:8" s="40" customFormat="1" ht="14.25" x14ac:dyDescent="0.2">
      <c r="A274" s="62" t="s">
        <v>342</v>
      </c>
      <c r="B274" s="63" t="s">
        <v>297</v>
      </c>
      <c r="C274" s="63" t="s">
        <v>343</v>
      </c>
      <c r="D274" s="65">
        <f>SUM(D276:D286)</f>
        <v>484440.19</v>
      </c>
      <c r="E274" s="65">
        <f>SUM(E276:E286)</f>
        <v>187800</v>
      </c>
      <c r="F274" s="65">
        <f t="shared" ref="F274" si="50">SUM(F276:F286)</f>
        <v>187800</v>
      </c>
      <c r="G274" s="66"/>
      <c r="H274" s="66"/>
    </row>
    <row r="275" spans="1:8" ht="15" customHeight="1" x14ac:dyDescent="0.25">
      <c r="A275" s="55" t="s">
        <v>311</v>
      </c>
      <c r="B275" s="56"/>
      <c r="C275" s="56"/>
      <c r="D275" s="57"/>
      <c r="E275" s="57"/>
      <c r="F275" s="57"/>
      <c r="G275" s="59"/>
      <c r="H275" s="59"/>
    </row>
    <row r="276" spans="1:8" s="61" customFormat="1" ht="15" customHeight="1" x14ac:dyDescent="0.25">
      <c r="A276" s="67" t="s">
        <v>452</v>
      </c>
      <c r="B276" s="68" t="s">
        <v>297</v>
      </c>
      <c r="C276" s="56" t="s">
        <v>343</v>
      </c>
      <c r="D276" s="57"/>
      <c r="E276" s="57"/>
      <c r="F276" s="57"/>
      <c r="G276" s="60"/>
      <c r="H276" s="60"/>
    </row>
    <row r="277" spans="1:8" s="61" customFormat="1" ht="15" customHeight="1" x14ac:dyDescent="0.25">
      <c r="A277" s="67" t="s">
        <v>453</v>
      </c>
      <c r="B277" s="68" t="s">
        <v>297</v>
      </c>
      <c r="C277" s="56" t="s">
        <v>343</v>
      </c>
      <c r="D277" s="57">
        <v>135000</v>
      </c>
      <c r="E277" s="57">
        <v>135000</v>
      </c>
      <c r="F277" s="57">
        <v>135000</v>
      </c>
      <c r="G277" s="60"/>
      <c r="H277" s="60"/>
    </row>
    <row r="278" spans="1:8" s="61" customFormat="1" ht="15" customHeight="1" x14ac:dyDescent="0.25">
      <c r="A278" s="67" t="s">
        <v>454</v>
      </c>
      <c r="B278" s="68" t="s">
        <v>297</v>
      </c>
      <c r="C278" s="56" t="s">
        <v>343</v>
      </c>
      <c r="D278" s="57"/>
      <c r="E278" s="57"/>
      <c r="F278" s="57"/>
      <c r="G278" s="60"/>
      <c r="H278" s="60"/>
    </row>
    <row r="279" spans="1:8" s="61" customFormat="1" ht="15" customHeight="1" x14ac:dyDescent="0.25">
      <c r="A279" s="67" t="s">
        <v>455</v>
      </c>
      <c r="B279" s="68" t="s">
        <v>297</v>
      </c>
      <c r="C279" s="56" t="s">
        <v>343</v>
      </c>
      <c r="D279" s="57">
        <v>44800</v>
      </c>
      <c r="E279" s="57">
        <v>44800</v>
      </c>
      <c r="F279" s="57">
        <v>44800</v>
      </c>
      <c r="G279" s="60"/>
      <c r="H279" s="60"/>
    </row>
    <row r="280" spans="1:8" s="61" customFormat="1" ht="15" customHeight="1" x14ac:dyDescent="0.25">
      <c r="A280" s="67" t="s">
        <v>456</v>
      </c>
      <c r="B280" s="68" t="s">
        <v>297</v>
      </c>
      <c r="C280" s="56" t="s">
        <v>343</v>
      </c>
      <c r="D280" s="57"/>
      <c r="E280" s="57"/>
      <c r="F280" s="57"/>
      <c r="G280" s="60"/>
      <c r="H280" s="60"/>
    </row>
    <row r="281" spans="1:8" s="61" customFormat="1" ht="15" customHeight="1" x14ac:dyDescent="0.25">
      <c r="A281" s="67" t="s">
        <v>457</v>
      </c>
      <c r="B281" s="68" t="s">
        <v>297</v>
      </c>
      <c r="C281" s="56" t="s">
        <v>343</v>
      </c>
      <c r="D281" s="57"/>
      <c r="E281" s="57"/>
      <c r="F281" s="57"/>
      <c r="G281" s="60"/>
      <c r="H281" s="60"/>
    </row>
    <row r="282" spans="1:8" s="61" customFormat="1" ht="15" customHeight="1" x14ac:dyDescent="0.25">
      <c r="A282" s="67" t="s">
        <v>458</v>
      </c>
      <c r="B282" s="68" t="s">
        <v>297</v>
      </c>
      <c r="C282" s="56" t="s">
        <v>343</v>
      </c>
      <c r="D282" s="57">
        <v>8000</v>
      </c>
      <c r="E282" s="57">
        <v>8000</v>
      </c>
      <c r="F282" s="57">
        <v>8000</v>
      </c>
      <c r="G282" s="60"/>
      <c r="H282" s="60"/>
    </row>
    <row r="283" spans="1:8" s="61" customFormat="1" ht="15" customHeight="1" x14ac:dyDescent="0.25">
      <c r="A283" s="67" t="s">
        <v>459</v>
      </c>
      <c r="B283" s="68" t="s">
        <v>297</v>
      </c>
      <c r="C283" s="56" t="s">
        <v>343</v>
      </c>
      <c r="D283" s="57"/>
      <c r="E283" s="57"/>
      <c r="F283" s="57"/>
      <c r="G283" s="60"/>
      <c r="H283" s="60"/>
    </row>
    <row r="284" spans="1:8" s="61" customFormat="1" ht="15" customHeight="1" x14ac:dyDescent="0.25">
      <c r="A284" s="67" t="s">
        <v>460</v>
      </c>
      <c r="B284" s="68" t="s">
        <v>297</v>
      </c>
      <c r="C284" s="56" t="s">
        <v>343</v>
      </c>
      <c r="D284" s="57"/>
      <c r="E284" s="57"/>
      <c r="F284" s="57"/>
      <c r="G284" s="60"/>
      <c r="H284" s="60"/>
    </row>
    <row r="285" spans="1:8" s="61" customFormat="1" ht="15" customHeight="1" x14ac:dyDescent="0.25">
      <c r="A285" s="67" t="s">
        <v>461</v>
      </c>
      <c r="B285" s="68" t="s">
        <v>297</v>
      </c>
      <c r="C285" s="56" t="s">
        <v>343</v>
      </c>
      <c r="D285" s="57"/>
      <c r="E285" s="57"/>
      <c r="F285" s="57"/>
      <c r="G285" s="60"/>
      <c r="H285" s="60"/>
    </row>
    <row r="286" spans="1:8" s="61" customFormat="1" ht="15" customHeight="1" x14ac:dyDescent="0.25">
      <c r="A286" s="67" t="s">
        <v>462</v>
      </c>
      <c r="B286" s="68" t="s">
        <v>297</v>
      </c>
      <c r="C286" s="56" t="s">
        <v>343</v>
      </c>
      <c r="D286" s="57">
        <v>296640.19</v>
      </c>
      <c r="E286" s="57"/>
      <c r="F286" s="57"/>
      <c r="G286" s="60"/>
      <c r="H286" s="60"/>
    </row>
    <row r="287" spans="1:8" s="40" customFormat="1" ht="18" customHeight="1" x14ac:dyDescent="0.2">
      <c r="A287" s="159" t="s">
        <v>364</v>
      </c>
      <c r="B287" s="160"/>
      <c r="C287" s="160"/>
      <c r="D287" s="161">
        <f>D288+D289+D290+D295+D296+D312+D349+D331+D332+D333+D334</f>
        <v>0</v>
      </c>
      <c r="E287" s="161">
        <f>E288+E289+E290+E295+E296+E312+E349+E331+E332+E333+E334</f>
        <v>0</v>
      </c>
      <c r="F287" s="161">
        <f>F288+F289+F290+F295+F296+F312+F349+F331+F332+F333+F334</f>
        <v>0</v>
      </c>
    </row>
    <row r="288" spans="1:8" s="40" customFormat="1" ht="14.25" x14ac:dyDescent="0.2">
      <c r="A288" s="62" t="s">
        <v>296</v>
      </c>
      <c r="B288" s="63" t="s">
        <v>297</v>
      </c>
      <c r="C288" s="63" t="s">
        <v>298</v>
      </c>
      <c r="D288" s="64"/>
      <c r="E288" s="64"/>
      <c r="F288" s="64"/>
      <c r="G288" s="66"/>
    </row>
    <row r="289" spans="1:8" s="140" customFormat="1" ht="14.25" x14ac:dyDescent="0.2">
      <c r="A289" s="62" t="s">
        <v>302</v>
      </c>
      <c r="B289" s="63" t="s">
        <v>297</v>
      </c>
      <c r="C289" s="63" t="s">
        <v>303</v>
      </c>
      <c r="D289" s="64"/>
      <c r="E289" s="64"/>
      <c r="F289" s="64"/>
      <c r="H289" s="139"/>
    </row>
    <row r="290" spans="1:8" s="41" customFormat="1" ht="28.5" x14ac:dyDescent="0.2">
      <c r="A290" s="62" t="s">
        <v>410</v>
      </c>
      <c r="B290" s="63" t="s">
        <v>752</v>
      </c>
      <c r="C290" s="63" t="s">
        <v>305</v>
      </c>
      <c r="D290" s="64">
        <f>SUM(D291:D294)</f>
        <v>0</v>
      </c>
      <c r="E290" s="64">
        <f t="shared" ref="E290:F290" si="51">SUM(E291:E294)</f>
        <v>0</v>
      </c>
      <c r="F290" s="64">
        <f t="shared" si="51"/>
        <v>0</v>
      </c>
      <c r="G290" s="265"/>
      <c r="H290" s="265"/>
    </row>
    <row r="291" spans="1:8" s="41" customFormat="1" x14ac:dyDescent="0.25">
      <c r="A291" s="67" t="s">
        <v>748</v>
      </c>
      <c r="B291" s="68" t="s">
        <v>749</v>
      </c>
      <c r="C291" s="56" t="s">
        <v>305</v>
      </c>
      <c r="D291" s="57"/>
      <c r="E291" s="57"/>
      <c r="F291" s="57"/>
      <c r="G291" s="265"/>
      <c r="H291" s="265"/>
    </row>
    <row r="292" spans="1:8" s="41" customFormat="1" x14ac:dyDescent="0.25">
      <c r="A292" s="67" t="s">
        <v>750</v>
      </c>
      <c r="B292" s="68" t="s">
        <v>749</v>
      </c>
      <c r="C292" s="56" t="s">
        <v>305</v>
      </c>
      <c r="D292" s="57"/>
      <c r="E292" s="57"/>
      <c r="F292" s="57"/>
      <c r="G292" s="265"/>
      <c r="H292" s="265"/>
    </row>
    <row r="293" spans="1:8" s="41" customFormat="1" x14ac:dyDescent="0.25">
      <c r="A293" s="67" t="s">
        <v>751</v>
      </c>
      <c r="B293" s="68" t="s">
        <v>297</v>
      </c>
      <c r="C293" s="56" t="s">
        <v>305</v>
      </c>
      <c r="D293" s="57"/>
      <c r="E293" s="57"/>
      <c r="F293" s="57"/>
      <c r="G293" s="265"/>
      <c r="H293" s="265"/>
    </row>
    <row r="294" spans="1:8" s="41" customFormat="1" x14ac:dyDescent="0.25">
      <c r="A294" s="67" t="s">
        <v>748</v>
      </c>
      <c r="B294" s="68" t="s">
        <v>297</v>
      </c>
      <c r="C294" s="56" t="s">
        <v>305</v>
      </c>
      <c r="D294" s="57"/>
      <c r="E294" s="57"/>
      <c r="F294" s="57"/>
      <c r="G294" s="265"/>
      <c r="H294" s="265"/>
    </row>
    <row r="295" spans="1:8" s="140" customFormat="1" ht="14.25" x14ac:dyDescent="0.2">
      <c r="A295" s="136" t="s">
        <v>307</v>
      </c>
      <c r="B295" s="137" t="s">
        <v>297</v>
      </c>
      <c r="C295" s="63" t="s">
        <v>308</v>
      </c>
      <c r="D295" s="64"/>
      <c r="E295" s="64"/>
      <c r="F295" s="64"/>
      <c r="G295" s="139"/>
      <c r="H295" s="139"/>
    </row>
    <row r="296" spans="1:8" s="40" customFormat="1" ht="18" customHeight="1" x14ac:dyDescent="0.2">
      <c r="A296" s="62" t="s">
        <v>309</v>
      </c>
      <c r="B296" s="63" t="s">
        <v>297</v>
      </c>
      <c r="C296" s="63" t="s">
        <v>310</v>
      </c>
      <c r="D296" s="65">
        <f>SUM(D297:D311)</f>
        <v>0</v>
      </c>
      <c r="E296" s="65">
        <f t="shared" ref="E296:F296" si="52">SUM(E297:E311)</f>
        <v>0</v>
      </c>
      <c r="F296" s="65">
        <f t="shared" si="52"/>
        <v>0</v>
      </c>
      <c r="G296" s="66"/>
      <c r="H296" s="66"/>
    </row>
    <row r="297" spans="1:8" ht="15" customHeight="1" x14ac:dyDescent="0.25">
      <c r="A297" s="55" t="s">
        <v>311</v>
      </c>
      <c r="B297" s="56" t="s">
        <v>297</v>
      </c>
      <c r="C297" s="56" t="s">
        <v>310</v>
      </c>
      <c r="D297" s="57"/>
      <c r="E297" s="57"/>
      <c r="F297" s="57"/>
      <c r="G297" s="59"/>
      <c r="H297" s="59"/>
    </row>
    <row r="298" spans="1:8" s="69" customFormat="1" ht="15" customHeight="1" x14ac:dyDescent="0.25">
      <c r="A298" s="55" t="s">
        <v>411</v>
      </c>
      <c r="B298" s="56" t="s">
        <v>297</v>
      </c>
      <c r="C298" s="56" t="s">
        <v>310</v>
      </c>
      <c r="D298" s="57"/>
      <c r="E298" s="57"/>
      <c r="F298" s="57"/>
      <c r="H298" s="70"/>
    </row>
    <row r="299" spans="1:8" ht="15" customHeight="1" x14ac:dyDescent="0.25">
      <c r="A299" s="55" t="s">
        <v>412</v>
      </c>
      <c r="B299" s="56" t="s">
        <v>297</v>
      </c>
      <c r="C299" s="56" t="s">
        <v>310</v>
      </c>
      <c r="D299" s="57"/>
      <c r="E299" s="57"/>
      <c r="F299" s="57"/>
      <c r="G299" s="59"/>
      <c r="H299" s="59"/>
    </row>
    <row r="300" spans="1:8" ht="15" customHeight="1" x14ac:dyDescent="0.25">
      <c r="A300" s="55" t="s">
        <v>413</v>
      </c>
      <c r="B300" s="56" t="s">
        <v>297</v>
      </c>
      <c r="C300" s="56" t="s">
        <v>310</v>
      </c>
      <c r="D300" s="57"/>
      <c r="E300" s="57"/>
      <c r="F300" s="57"/>
      <c r="G300" s="59"/>
      <c r="H300" s="59"/>
    </row>
    <row r="301" spans="1:8" ht="15" customHeight="1" x14ac:dyDescent="0.25">
      <c r="A301" s="55" t="s">
        <v>414</v>
      </c>
      <c r="B301" s="56" t="s">
        <v>297</v>
      </c>
      <c r="C301" s="56" t="s">
        <v>310</v>
      </c>
      <c r="D301" s="57"/>
      <c r="E301" s="57"/>
      <c r="F301" s="57"/>
      <c r="H301" s="59"/>
    </row>
    <row r="302" spans="1:8" ht="15" customHeight="1" x14ac:dyDescent="0.25">
      <c r="A302" s="55" t="s">
        <v>415</v>
      </c>
      <c r="B302" s="56" t="s">
        <v>297</v>
      </c>
      <c r="C302" s="56" t="s">
        <v>310</v>
      </c>
      <c r="D302" s="57"/>
      <c r="E302" s="57"/>
      <c r="F302" s="57"/>
      <c r="H302" s="59"/>
    </row>
    <row r="303" spans="1:8" ht="15" customHeight="1" x14ac:dyDescent="0.25">
      <c r="A303" s="55" t="s">
        <v>416</v>
      </c>
      <c r="B303" s="56" t="s">
        <v>297</v>
      </c>
      <c r="C303" s="56" t="s">
        <v>310</v>
      </c>
      <c r="D303" s="57"/>
      <c r="E303" s="57"/>
      <c r="F303" s="57"/>
      <c r="H303" s="59"/>
    </row>
    <row r="304" spans="1:8" ht="15" customHeight="1" x14ac:dyDescent="0.25">
      <c r="A304" s="55" t="s">
        <v>417</v>
      </c>
      <c r="B304" s="56" t="s">
        <v>297</v>
      </c>
      <c r="C304" s="56" t="s">
        <v>310</v>
      </c>
      <c r="D304" s="57"/>
      <c r="E304" s="57"/>
      <c r="F304" s="57"/>
      <c r="H304" s="59"/>
    </row>
    <row r="305" spans="1:8" ht="15" customHeight="1" x14ac:dyDescent="0.25">
      <c r="A305" s="55" t="s">
        <v>418</v>
      </c>
      <c r="B305" s="56" t="s">
        <v>297</v>
      </c>
      <c r="C305" s="56" t="s">
        <v>310</v>
      </c>
      <c r="D305" s="57"/>
      <c r="E305" s="57"/>
      <c r="F305" s="57"/>
      <c r="H305" s="59"/>
    </row>
    <row r="306" spans="1:8" ht="15" customHeight="1" x14ac:dyDescent="0.25">
      <c r="A306" s="55" t="s">
        <v>419</v>
      </c>
      <c r="B306" s="56" t="s">
        <v>297</v>
      </c>
      <c r="C306" s="56" t="s">
        <v>310</v>
      </c>
      <c r="D306" s="57"/>
      <c r="E306" s="57"/>
      <c r="F306" s="57"/>
      <c r="H306" s="59"/>
    </row>
    <row r="307" spans="1:8" ht="15" customHeight="1" x14ac:dyDescent="0.25">
      <c r="A307" s="55" t="s">
        <v>420</v>
      </c>
      <c r="B307" s="56" t="s">
        <v>297</v>
      </c>
      <c r="C307" s="56" t="s">
        <v>310</v>
      </c>
      <c r="D307" s="57"/>
      <c r="E307" s="57"/>
      <c r="F307" s="57"/>
      <c r="H307" s="59"/>
    </row>
    <row r="308" spans="1:8" ht="15" customHeight="1" x14ac:dyDescent="0.25">
      <c r="A308" s="55" t="s">
        <v>421</v>
      </c>
      <c r="B308" s="56" t="s">
        <v>297</v>
      </c>
      <c r="C308" s="56" t="s">
        <v>310</v>
      </c>
      <c r="D308" s="57"/>
      <c r="E308" s="57"/>
      <c r="F308" s="57"/>
      <c r="H308" s="59"/>
    </row>
    <row r="309" spans="1:8" ht="15" customHeight="1" x14ac:dyDescent="0.25">
      <c r="A309" s="55" t="s">
        <v>422</v>
      </c>
      <c r="B309" s="56" t="s">
        <v>297</v>
      </c>
      <c r="C309" s="56" t="s">
        <v>310</v>
      </c>
      <c r="D309" s="57"/>
      <c r="E309" s="57"/>
      <c r="F309" s="57"/>
      <c r="H309" s="59"/>
    </row>
    <row r="310" spans="1:8" ht="15" customHeight="1" x14ac:dyDescent="0.25">
      <c r="A310" s="55" t="s">
        <v>423</v>
      </c>
      <c r="B310" s="56" t="s">
        <v>297</v>
      </c>
      <c r="C310" s="56" t="s">
        <v>310</v>
      </c>
      <c r="D310" s="57"/>
      <c r="E310" s="57"/>
      <c r="F310" s="57"/>
      <c r="H310" s="59"/>
    </row>
    <row r="311" spans="1:8" ht="15" customHeight="1" x14ac:dyDescent="0.25">
      <c r="A311" s="55"/>
      <c r="B311" s="56" t="s">
        <v>297</v>
      </c>
      <c r="C311" s="56" t="s">
        <v>310</v>
      </c>
      <c r="D311" s="57"/>
      <c r="E311" s="57"/>
      <c r="F311" s="57"/>
      <c r="H311" s="59"/>
    </row>
    <row r="312" spans="1:8" s="40" customFormat="1" ht="18" customHeight="1" x14ac:dyDescent="0.2">
      <c r="A312" s="62" t="s">
        <v>322</v>
      </c>
      <c r="B312" s="63" t="s">
        <v>297</v>
      </c>
      <c r="C312" s="63" t="s">
        <v>290</v>
      </c>
      <c r="D312" s="65">
        <f>SUM(D313:D330)</f>
        <v>0</v>
      </c>
      <c r="E312" s="65">
        <f t="shared" ref="E312:F312" si="53">SUM(E313:E322)</f>
        <v>0</v>
      </c>
      <c r="F312" s="65">
        <f t="shared" si="53"/>
        <v>0</v>
      </c>
      <c r="G312" s="66"/>
      <c r="H312" s="66"/>
    </row>
    <row r="313" spans="1:8" s="61" customFormat="1" x14ac:dyDescent="0.25">
      <c r="A313" s="55" t="s">
        <v>424</v>
      </c>
      <c r="B313" s="56" t="s">
        <v>297</v>
      </c>
      <c r="C313" s="56" t="s">
        <v>290</v>
      </c>
      <c r="D313" s="57"/>
      <c r="E313" s="57"/>
      <c r="F313" s="57"/>
      <c r="G313" s="45"/>
      <c r="H313" s="59"/>
    </row>
    <row r="314" spans="1:8" ht="14.25" customHeight="1" x14ac:dyDescent="0.25">
      <c r="A314" s="55" t="s">
        <v>425</v>
      </c>
      <c r="B314" s="56" t="s">
        <v>297</v>
      </c>
      <c r="C314" s="56" t="s">
        <v>290</v>
      </c>
      <c r="D314" s="57"/>
      <c r="E314" s="57"/>
      <c r="F314" s="57"/>
      <c r="H314" s="59"/>
    </row>
    <row r="315" spans="1:8" ht="14.25" customHeight="1" x14ac:dyDescent="0.25">
      <c r="A315" s="55" t="s">
        <v>426</v>
      </c>
      <c r="B315" s="56" t="s">
        <v>297</v>
      </c>
      <c r="C315" s="56" t="s">
        <v>290</v>
      </c>
      <c r="D315" s="57"/>
      <c r="E315" s="57"/>
      <c r="F315" s="57"/>
      <c r="H315" s="59"/>
    </row>
    <row r="316" spans="1:8" ht="14.25" customHeight="1" x14ac:dyDescent="0.25">
      <c r="A316" s="55" t="s">
        <v>427</v>
      </c>
      <c r="B316" s="56" t="s">
        <v>297</v>
      </c>
      <c r="C316" s="56" t="s">
        <v>290</v>
      </c>
      <c r="D316" s="57"/>
      <c r="E316" s="57"/>
      <c r="F316" s="57"/>
      <c r="H316" s="59"/>
    </row>
    <row r="317" spans="1:8" ht="14.25" customHeight="1" x14ac:dyDescent="0.25">
      <c r="A317" s="55" t="s">
        <v>428</v>
      </c>
      <c r="B317" s="56" t="s">
        <v>297</v>
      </c>
      <c r="C317" s="56" t="s">
        <v>290</v>
      </c>
      <c r="D317" s="57"/>
      <c r="E317" s="57"/>
      <c r="F317" s="57"/>
      <c r="H317" s="59"/>
    </row>
    <row r="318" spans="1:8" ht="14.25" customHeight="1" x14ac:dyDescent="0.25">
      <c r="A318" s="55" t="s">
        <v>429</v>
      </c>
      <c r="B318" s="56" t="s">
        <v>297</v>
      </c>
      <c r="C318" s="56" t="s">
        <v>290</v>
      </c>
      <c r="D318" s="57"/>
      <c r="E318" s="57"/>
      <c r="F318" s="57"/>
      <c r="H318" s="59"/>
    </row>
    <row r="319" spans="1:8" ht="14.25" customHeight="1" x14ac:dyDescent="0.25">
      <c r="A319" s="55" t="s">
        <v>430</v>
      </c>
      <c r="B319" s="56" t="s">
        <v>297</v>
      </c>
      <c r="C319" s="56" t="s">
        <v>290</v>
      </c>
      <c r="D319" s="57"/>
      <c r="E319" s="57"/>
      <c r="F319" s="57"/>
      <c r="H319" s="59"/>
    </row>
    <row r="320" spans="1:8" ht="14.25" customHeight="1" x14ac:dyDescent="0.25">
      <c r="A320" s="55" t="s">
        <v>431</v>
      </c>
      <c r="B320" s="56" t="s">
        <v>297</v>
      </c>
      <c r="C320" s="56" t="s">
        <v>290</v>
      </c>
      <c r="D320" s="57"/>
      <c r="E320" s="57"/>
      <c r="F320" s="57"/>
      <c r="H320" s="59"/>
    </row>
    <row r="321" spans="1:8" ht="14.25" customHeight="1" x14ac:dyDescent="0.25">
      <c r="A321" s="55" t="s">
        <v>432</v>
      </c>
      <c r="B321" s="56" t="s">
        <v>297</v>
      </c>
      <c r="C321" s="56" t="s">
        <v>290</v>
      </c>
      <c r="D321" s="57"/>
      <c r="E321" s="57"/>
      <c r="F321" s="57"/>
      <c r="H321" s="59"/>
    </row>
    <row r="322" spans="1:8" ht="14.25" customHeight="1" x14ac:dyDescent="0.25">
      <c r="A322" s="55" t="s">
        <v>433</v>
      </c>
      <c r="B322" s="56" t="s">
        <v>297</v>
      </c>
      <c r="C322" s="56" t="s">
        <v>290</v>
      </c>
      <c r="D322" s="57"/>
      <c r="E322" s="57"/>
      <c r="F322" s="57"/>
      <c r="H322" s="59"/>
    </row>
    <row r="323" spans="1:8" x14ac:dyDescent="0.25">
      <c r="A323" s="55" t="s">
        <v>434</v>
      </c>
      <c r="B323" s="56" t="s">
        <v>297</v>
      </c>
      <c r="C323" s="56" t="s">
        <v>290</v>
      </c>
      <c r="D323" s="64"/>
      <c r="E323" s="64"/>
      <c r="F323" s="64"/>
      <c r="H323" s="59"/>
    </row>
    <row r="324" spans="1:8" s="61" customFormat="1" x14ac:dyDescent="0.25">
      <c r="A324" s="55" t="s">
        <v>435</v>
      </c>
      <c r="B324" s="56" t="s">
        <v>297</v>
      </c>
      <c r="C324" s="56" t="s">
        <v>290</v>
      </c>
      <c r="D324" s="57"/>
      <c r="E324" s="57"/>
      <c r="F324" s="57"/>
      <c r="G324" s="60"/>
      <c r="H324" s="60"/>
    </row>
    <row r="325" spans="1:8" s="61" customFormat="1" x14ac:dyDescent="0.25">
      <c r="A325" s="55" t="s">
        <v>436</v>
      </c>
      <c r="B325" s="56" t="s">
        <v>297</v>
      </c>
      <c r="C325" s="56" t="s">
        <v>290</v>
      </c>
      <c r="D325" s="57"/>
      <c r="E325" s="57"/>
      <c r="F325" s="57"/>
      <c r="G325" s="60"/>
      <c r="H325" s="60"/>
    </row>
    <row r="326" spans="1:8" s="61" customFormat="1" x14ac:dyDescent="0.25">
      <c r="A326" s="55" t="s">
        <v>437</v>
      </c>
      <c r="B326" s="56" t="s">
        <v>297</v>
      </c>
      <c r="C326" s="56" t="s">
        <v>290</v>
      </c>
      <c r="D326" s="57"/>
      <c r="E326" s="57"/>
      <c r="F326" s="57"/>
      <c r="G326" s="60"/>
      <c r="H326" s="60"/>
    </row>
    <row r="327" spans="1:8" s="61" customFormat="1" ht="30" x14ac:dyDescent="0.25">
      <c r="A327" s="55" t="s">
        <v>465</v>
      </c>
      <c r="B327" s="56" t="s">
        <v>297</v>
      </c>
      <c r="C327" s="56" t="s">
        <v>290</v>
      </c>
      <c r="D327" s="57"/>
      <c r="E327" s="57"/>
      <c r="F327" s="57"/>
      <c r="G327" s="60"/>
      <c r="H327" s="60"/>
    </row>
    <row r="328" spans="1:8" s="61" customFormat="1" x14ac:dyDescent="0.25">
      <c r="A328" s="55" t="s">
        <v>466</v>
      </c>
      <c r="B328" s="56" t="s">
        <v>297</v>
      </c>
      <c r="C328" s="56" t="s">
        <v>290</v>
      </c>
      <c r="D328" s="57"/>
      <c r="E328" s="57"/>
      <c r="F328" s="57"/>
      <c r="G328" s="60"/>
      <c r="H328" s="60"/>
    </row>
    <row r="329" spans="1:8" s="61" customFormat="1" x14ac:dyDescent="0.25">
      <c r="A329" s="55" t="s">
        <v>467</v>
      </c>
      <c r="B329" s="56" t="s">
        <v>297</v>
      </c>
      <c r="C329" s="56" t="s">
        <v>290</v>
      </c>
      <c r="D329" s="57"/>
      <c r="E329" s="57"/>
      <c r="F329" s="57"/>
      <c r="G329" s="60"/>
      <c r="H329" s="60"/>
    </row>
    <row r="330" spans="1:8" s="61" customFormat="1" x14ac:dyDescent="0.25">
      <c r="A330" s="55" t="s">
        <v>468</v>
      </c>
      <c r="B330" s="56" t="s">
        <v>297</v>
      </c>
      <c r="C330" s="56" t="s">
        <v>290</v>
      </c>
      <c r="D330" s="57"/>
      <c r="E330" s="57"/>
      <c r="F330" s="57"/>
      <c r="G330" s="60"/>
      <c r="H330" s="60"/>
    </row>
    <row r="331" spans="1:8" s="140" customFormat="1" ht="14.25" x14ac:dyDescent="0.2">
      <c r="A331" s="62" t="s">
        <v>334</v>
      </c>
      <c r="B331" s="63" t="s">
        <v>335</v>
      </c>
      <c r="C331" s="63" t="s">
        <v>336</v>
      </c>
      <c r="D331" s="64"/>
      <c r="E331" s="64"/>
      <c r="F331" s="64"/>
      <c r="H331" s="139"/>
    </row>
    <row r="332" spans="1:8" s="40" customFormat="1" ht="15" customHeight="1" x14ac:dyDescent="0.2">
      <c r="A332" s="62" t="s">
        <v>330</v>
      </c>
      <c r="B332" s="63" t="s">
        <v>332</v>
      </c>
      <c r="C332" s="63" t="s">
        <v>463</v>
      </c>
      <c r="D332" s="64"/>
      <c r="E332" s="64"/>
      <c r="F332" s="64"/>
      <c r="G332" s="66"/>
      <c r="H332" s="66"/>
    </row>
    <row r="333" spans="1:8" s="40" customFormat="1" ht="14.25" x14ac:dyDescent="0.2">
      <c r="A333" s="62" t="s">
        <v>438</v>
      </c>
      <c r="B333" s="63"/>
      <c r="C333" s="63"/>
      <c r="D333" s="64"/>
      <c r="E333" s="64"/>
      <c r="F333" s="64"/>
      <c r="G333" s="66"/>
      <c r="H333" s="66"/>
    </row>
    <row r="334" spans="1:8" s="140" customFormat="1" ht="14.25" x14ac:dyDescent="0.2">
      <c r="A334" s="136" t="s">
        <v>340</v>
      </c>
      <c r="B334" s="137" t="s">
        <v>297</v>
      </c>
      <c r="C334" s="63" t="s">
        <v>341</v>
      </c>
      <c r="D334" s="64">
        <f>SUM(D336:D348)</f>
        <v>0</v>
      </c>
      <c r="E334" s="64">
        <f t="shared" ref="E334:F334" si="54">SUM(E336:E348)</f>
        <v>0</v>
      </c>
      <c r="F334" s="64">
        <f t="shared" si="54"/>
        <v>0</v>
      </c>
      <c r="G334" s="139"/>
      <c r="H334" s="139"/>
    </row>
    <row r="335" spans="1:8" ht="15" customHeight="1" x14ac:dyDescent="0.25">
      <c r="A335" s="55" t="s">
        <v>311</v>
      </c>
      <c r="B335" s="56"/>
      <c r="C335" s="56"/>
      <c r="D335" s="57"/>
      <c r="E335" s="57"/>
      <c r="F335" s="57"/>
      <c r="G335" s="59"/>
      <c r="H335" s="59"/>
    </row>
    <row r="336" spans="1:8" s="61" customFormat="1" ht="15" customHeight="1" x14ac:dyDescent="0.25">
      <c r="A336" s="67" t="s">
        <v>439</v>
      </c>
      <c r="B336" s="68" t="s">
        <v>297</v>
      </c>
      <c r="C336" s="56" t="s">
        <v>341</v>
      </c>
      <c r="D336" s="57"/>
      <c r="E336" s="57"/>
      <c r="F336" s="57"/>
      <c r="G336" s="60"/>
      <c r="H336" s="60"/>
    </row>
    <row r="337" spans="1:8" s="61" customFormat="1" ht="15" customHeight="1" x14ac:dyDescent="0.25">
      <c r="A337" s="67" t="s">
        <v>440</v>
      </c>
      <c r="B337" s="68" t="s">
        <v>297</v>
      </c>
      <c r="C337" s="56" t="s">
        <v>341</v>
      </c>
      <c r="D337" s="57"/>
      <c r="E337" s="57"/>
      <c r="F337" s="57"/>
      <c r="G337" s="60"/>
      <c r="H337" s="60"/>
    </row>
    <row r="338" spans="1:8" s="61" customFormat="1" ht="15" customHeight="1" x14ac:dyDescent="0.25">
      <c r="A338" s="67" t="s">
        <v>441</v>
      </c>
      <c r="B338" s="68" t="s">
        <v>297</v>
      </c>
      <c r="C338" s="56" t="s">
        <v>341</v>
      </c>
      <c r="D338" s="57"/>
      <c r="E338" s="57"/>
      <c r="F338" s="57"/>
      <c r="G338" s="60"/>
      <c r="H338" s="60"/>
    </row>
    <row r="339" spans="1:8" s="61" customFormat="1" ht="15" customHeight="1" x14ac:dyDescent="0.25">
      <c r="A339" s="67" t="s">
        <v>442</v>
      </c>
      <c r="B339" s="68" t="s">
        <v>297</v>
      </c>
      <c r="C339" s="56" t="s">
        <v>341</v>
      </c>
      <c r="D339" s="57"/>
      <c r="E339" s="57"/>
      <c r="F339" s="57"/>
      <c r="G339" s="60"/>
      <c r="H339" s="60"/>
    </row>
    <row r="340" spans="1:8" s="40" customFormat="1" x14ac:dyDescent="0.25">
      <c r="A340" s="138" t="s">
        <v>443</v>
      </c>
      <c r="B340" s="73" t="s">
        <v>297</v>
      </c>
      <c r="C340" s="73" t="s">
        <v>341</v>
      </c>
      <c r="D340" s="64"/>
      <c r="E340" s="64"/>
      <c r="F340" s="64"/>
    </row>
    <row r="341" spans="1:8" x14ac:dyDescent="0.25">
      <c r="A341" s="55" t="s">
        <v>444</v>
      </c>
      <c r="B341" s="56" t="s">
        <v>297</v>
      </c>
      <c r="C341" s="56" t="s">
        <v>341</v>
      </c>
      <c r="D341" s="57"/>
      <c r="E341" s="57"/>
      <c r="F341" s="57"/>
      <c r="G341" s="59"/>
    </row>
    <row r="342" spans="1:8" x14ac:dyDescent="0.25">
      <c r="A342" s="55" t="s">
        <v>445</v>
      </c>
      <c r="B342" s="56" t="s">
        <v>297</v>
      </c>
      <c r="C342" s="56" t="s">
        <v>341</v>
      </c>
      <c r="D342" s="57"/>
      <c r="E342" s="57"/>
      <c r="F342" s="57"/>
      <c r="G342" s="59"/>
    </row>
    <row r="343" spans="1:8" s="61" customFormat="1" x14ac:dyDescent="0.25">
      <c r="A343" s="55" t="s">
        <v>446</v>
      </c>
      <c r="B343" s="56" t="s">
        <v>297</v>
      </c>
      <c r="C343" s="56" t="s">
        <v>341</v>
      </c>
      <c r="D343" s="57"/>
      <c r="E343" s="57"/>
      <c r="F343" s="57"/>
      <c r="G343" s="60"/>
      <c r="H343" s="60"/>
    </row>
    <row r="344" spans="1:8" s="61" customFormat="1" x14ac:dyDescent="0.25">
      <c r="A344" s="55" t="s">
        <v>447</v>
      </c>
      <c r="B344" s="56" t="s">
        <v>297</v>
      </c>
      <c r="C344" s="56" t="s">
        <v>341</v>
      </c>
      <c r="D344" s="57"/>
      <c r="E344" s="57"/>
      <c r="F344" s="57"/>
      <c r="G344" s="60"/>
      <c r="H344" s="60"/>
    </row>
    <row r="345" spans="1:8" s="61" customFormat="1" x14ac:dyDescent="0.25">
      <c r="A345" s="55" t="s">
        <v>448</v>
      </c>
      <c r="B345" s="56" t="s">
        <v>297</v>
      </c>
      <c r="C345" s="56" t="s">
        <v>341</v>
      </c>
      <c r="D345" s="57"/>
      <c r="E345" s="57"/>
      <c r="F345" s="57"/>
      <c r="G345" s="60"/>
      <c r="H345" s="60"/>
    </row>
    <row r="346" spans="1:8" x14ac:dyDescent="0.25">
      <c r="A346" s="55" t="s">
        <v>449</v>
      </c>
      <c r="B346" s="56" t="s">
        <v>297</v>
      </c>
      <c r="C346" s="56" t="s">
        <v>341</v>
      </c>
      <c r="D346" s="57"/>
      <c r="E346" s="57"/>
      <c r="F346" s="57"/>
      <c r="G346" s="59"/>
    </row>
    <row r="347" spans="1:8" s="40" customFormat="1" x14ac:dyDescent="0.2">
      <c r="A347" s="55" t="s">
        <v>450</v>
      </c>
      <c r="B347" s="56" t="s">
        <v>297</v>
      </c>
      <c r="C347" s="56" t="s">
        <v>341</v>
      </c>
      <c r="D347" s="64"/>
      <c r="E347" s="64"/>
      <c r="F347" s="64"/>
      <c r="G347" s="66"/>
    </row>
    <row r="348" spans="1:8" x14ac:dyDescent="0.25">
      <c r="A348" s="55" t="s">
        <v>451</v>
      </c>
      <c r="B348" s="56" t="s">
        <v>297</v>
      </c>
      <c r="C348" s="56" t="s">
        <v>341</v>
      </c>
      <c r="D348" s="57"/>
      <c r="E348" s="57"/>
      <c r="F348" s="57"/>
      <c r="G348" s="59"/>
      <c r="H348" s="59"/>
    </row>
    <row r="349" spans="1:8" s="40" customFormat="1" ht="14.25" x14ac:dyDescent="0.2">
      <c r="A349" s="62" t="s">
        <v>342</v>
      </c>
      <c r="B349" s="63" t="s">
        <v>297</v>
      </c>
      <c r="C349" s="63" t="s">
        <v>343</v>
      </c>
      <c r="D349" s="65">
        <f>SUM(D351:D361)</f>
        <v>0</v>
      </c>
      <c r="E349" s="65">
        <f t="shared" ref="E349:F349" si="55">SUM(E351:E361)</f>
        <v>0</v>
      </c>
      <c r="F349" s="65">
        <f t="shared" si="55"/>
        <v>0</v>
      </c>
      <c r="G349" s="66"/>
      <c r="H349" s="66"/>
    </row>
    <row r="350" spans="1:8" ht="15" customHeight="1" x14ac:dyDescent="0.25">
      <c r="A350" s="55" t="s">
        <v>311</v>
      </c>
      <c r="B350" s="56"/>
      <c r="C350" s="56"/>
      <c r="D350" s="57"/>
      <c r="E350" s="57"/>
      <c r="F350" s="57"/>
      <c r="G350" s="59"/>
      <c r="H350" s="59"/>
    </row>
    <row r="351" spans="1:8" s="61" customFormat="1" ht="15" customHeight="1" x14ac:dyDescent="0.25">
      <c r="A351" s="67" t="s">
        <v>452</v>
      </c>
      <c r="B351" s="68" t="s">
        <v>297</v>
      </c>
      <c r="C351" s="56" t="s">
        <v>343</v>
      </c>
      <c r="D351" s="57"/>
      <c r="E351" s="57"/>
      <c r="F351" s="57"/>
      <c r="G351" s="60"/>
      <c r="H351" s="60"/>
    </row>
    <row r="352" spans="1:8" s="61" customFormat="1" ht="15" customHeight="1" x14ac:dyDescent="0.25">
      <c r="A352" s="67" t="s">
        <v>453</v>
      </c>
      <c r="B352" s="68" t="s">
        <v>297</v>
      </c>
      <c r="C352" s="56" t="s">
        <v>343</v>
      </c>
      <c r="D352" s="57"/>
      <c r="E352" s="57"/>
      <c r="F352" s="57"/>
      <c r="G352" s="60"/>
      <c r="H352" s="60"/>
    </row>
    <row r="353" spans="1:8" s="61" customFormat="1" ht="15" customHeight="1" x14ac:dyDescent="0.25">
      <c r="A353" s="67" t="s">
        <v>454</v>
      </c>
      <c r="B353" s="68" t="s">
        <v>297</v>
      </c>
      <c r="C353" s="56" t="s">
        <v>343</v>
      </c>
      <c r="D353" s="57"/>
      <c r="E353" s="57"/>
      <c r="F353" s="57"/>
      <c r="G353" s="60"/>
      <c r="H353" s="60"/>
    </row>
    <row r="354" spans="1:8" s="61" customFormat="1" ht="15" customHeight="1" x14ac:dyDescent="0.25">
      <c r="A354" s="67" t="s">
        <v>455</v>
      </c>
      <c r="B354" s="68" t="s">
        <v>297</v>
      </c>
      <c r="C354" s="56" t="s">
        <v>343</v>
      </c>
      <c r="D354" s="57"/>
      <c r="E354" s="57"/>
      <c r="F354" s="57"/>
      <c r="G354" s="60"/>
      <c r="H354" s="60"/>
    </row>
    <row r="355" spans="1:8" s="61" customFormat="1" ht="15" customHeight="1" x14ac:dyDescent="0.25">
      <c r="A355" s="67" t="s">
        <v>456</v>
      </c>
      <c r="B355" s="68" t="s">
        <v>297</v>
      </c>
      <c r="C355" s="56" t="s">
        <v>343</v>
      </c>
      <c r="D355" s="57"/>
      <c r="E355" s="57"/>
      <c r="F355" s="57"/>
      <c r="G355" s="60"/>
      <c r="H355" s="60"/>
    </row>
    <row r="356" spans="1:8" s="61" customFormat="1" ht="15" customHeight="1" x14ac:dyDescent="0.25">
      <c r="A356" s="67" t="s">
        <v>457</v>
      </c>
      <c r="B356" s="68" t="s">
        <v>297</v>
      </c>
      <c r="C356" s="56" t="s">
        <v>343</v>
      </c>
      <c r="D356" s="57"/>
      <c r="E356" s="57"/>
      <c r="F356" s="57"/>
      <c r="G356" s="60"/>
      <c r="H356" s="60"/>
    </row>
    <row r="357" spans="1:8" s="61" customFormat="1" ht="15" customHeight="1" x14ac:dyDescent="0.25">
      <c r="A357" s="67" t="s">
        <v>458</v>
      </c>
      <c r="B357" s="68" t="s">
        <v>297</v>
      </c>
      <c r="C357" s="56" t="s">
        <v>343</v>
      </c>
      <c r="D357" s="57"/>
      <c r="E357" s="57"/>
      <c r="F357" s="57"/>
      <c r="G357" s="60"/>
      <c r="H357" s="60"/>
    </row>
    <row r="358" spans="1:8" s="61" customFormat="1" ht="15" customHeight="1" x14ac:dyDescent="0.25">
      <c r="A358" s="67" t="s">
        <v>459</v>
      </c>
      <c r="B358" s="68" t="s">
        <v>297</v>
      </c>
      <c r="C358" s="56" t="s">
        <v>343</v>
      </c>
      <c r="D358" s="57"/>
      <c r="E358" s="57"/>
      <c r="F358" s="57"/>
      <c r="G358" s="60"/>
      <c r="H358" s="60"/>
    </row>
    <row r="359" spans="1:8" s="61" customFormat="1" ht="15" customHeight="1" x14ac:dyDescent="0.25">
      <c r="A359" s="67" t="s">
        <v>460</v>
      </c>
      <c r="B359" s="68" t="s">
        <v>297</v>
      </c>
      <c r="C359" s="56" t="s">
        <v>343</v>
      </c>
      <c r="D359" s="57"/>
      <c r="E359" s="57"/>
      <c r="F359" s="57"/>
      <c r="G359" s="60"/>
      <c r="H359" s="60"/>
    </row>
    <row r="360" spans="1:8" s="61" customFormat="1" ht="15" customHeight="1" x14ac:dyDescent="0.25">
      <c r="A360" s="67" t="s">
        <v>461</v>
      </c>
      <c r="B360" s="68" t="s">
        <v>297</v>
      </c>
      <c r="C360" s="56" t="s">
        <v>343</v>
      </c>
      <c r="D360" s="57"/>
      <c r="E360" s="57"/>
      <c r="F360" s="57"/>
      <c r="G360" s="60"/>
      <c r="H360" s="60"/>
    </row>
    <row r="361" spans="1:8" s="61" customFormat="1" ht="15" customHeight="1" x14ac:dyDescent="0.25">
      <c r="A361" s="67" t="s">
        <v>462</v>
      </c>
      <c r="B361" s="68" t="s">
        <v>297</v>
      </c>
      <c r="C361" s="56" t="s">
        <v>343</v>
      </c>
      <c r="D361" s="57"/>
      <c r="E361" s="57"/>
      <c r="F361" s="57"/>
      <c r="G361" s="60"/>
      <c r="H361" s="60"/>
    </row>
    <row r="362" spans="1:8" s="41" customFormat="1" ht="18" customHeight="1" x14ac:dyDescent="0.2">
      <c r="A362" s="159" t="s">
        <v>628</v>
      </c>
      <c r="B362" s="162" t="s">
        <v>297</v>
      </c>
      <c r="C362" s="162" t="s">
        <v>679</v>
      </c>
      <c r="D362" s="161">
        <f>SUM(D363:D370)</f>
        <v>0</v>
      </c>
      <c r="E362" s="161">
        <f t="shared" ref="E362:F362" si="56">SUM(E363:E370)</f>
        <v>0</v>
      </c>
      <c r="F362" s="161">
        <f t="shared" si="56"/>
        <v>0</v>
      </c>
    </row>
    <row r="363" spans="1:8" s="41" customFormat="1" ht="18" customHeight="1" x14ac:dyDescent="0.25">
      <c r="A363" s="67" t="s">
        <v>680</v>
      </c>
      <c r="B363" s="68" t="s">
        <v>297</v>
      </c>
      <c r="C363" s="56" t="s">
        <v>298</v>
      </c>
      <c r="D363" s="57"/>
      <c r="E363" s="64"/>
      <c r="F363" s="64"/>
    </row>
    <row r="364" spans="1:8" s="41" customFormat="1" ht="18" customHeight="1" x14ac:dyDescent="0.25">
      <c r="A364" s="67" t="s">
        <v>681</v>
      </c>
      <c r="B364" s="68" t="s">
        <v>297</v>
      </c>
      <c r="C364" s="56" t="s">
        <v>298</v>
      </c>
      <c r="D364" s="57"/>
      <c r="E364" s="64"/>
      <c r="F364" s="64"/>
    </row>
    <row r="365" spans="1:8" s="41" customFormat="1" x14ac:dyDescent="0.25">
      <c r="A365" s="67" t="s">
        <v>682</v>
      </c>
      <c r="B365" s="68" t="s">
        <v>297</v>
      </c>
      <c r="C365" s="56" t="s">
        <v>310</v>
      </c>
      <c r="D365" s="57"/>
      <c r="E365" s="57"/>
      <c r="F365" s="57"/>
      <c r="G365" s="265"/>
    </row>
    <row r="366" spans="1:8" s="236" customFormat="1" x14ac:dyDescent="0.25">
      <c r="A366" s="67" t="s">
        <v>683</v>
      </c>
      <c r="B366" s="68" t="s">
        <v>297</v>
      </c>
      <c r="C366" s="56" t="s">
        <v>310</v>
      </c>
      <c r="D366" s="57"/>
      <c r="E366" s="57"/>
      <c r="F366" s="57"/>
      <c r="H366" s="235"/>
    </row>
    <row r="367" spans="1:8" s="236" customFormat="1" x14ac:dyDescent="0.25">
      <c r="A367" s="67" t="s">
        <v>684</v>
      </c>
      <c r="B367" s="68" t="s">
        <v>297</v>
      </c>
      <c r="C367" s="56" t="s">
        <v>290</v>
      </c>
      <c r="D367" s="57"/>
      <c r="E367" s="57"/>
      <c r="F367" s="57"/>
      <c r="H367" s="235"/>
    </row>
    <row r="368" spans="1:8" s="236" customFormat="1" x14ac:dyDescent="0.25">
      <c r="A368" s="67" t="s">
        <v>685</v>
      </c>
      <c r="B368" s="68" t="s">
        <v>297</v>
      </c>
      <c r="C368" s="56" t="s">
        <v>290</v>
      </c>
      <c r="D368" s="57"/>
      <c r="E368" s="57"/>
      <c r="F368" s="57"/>
      <c r="H368" s="235"/>
    </row>
    <row r="369" spans="1:8" s="236" customFormat="1" x14ac:dyDescent="0.25">
      <c r="A369" s="67" t="s">
        <v>686</v>
      </c>
      <c r="B369" s="68" t="s">
        <v>297</v>
      </c>
      <c r="C369" s="56" t="s">
        <v>634</v>
      </c>
      <c r="D369" s="57"/>
      <c r="E369" s="57"/>
      <c r="F369" s="57"/>
      <c r="H369" s="235"/>
    </row>
    <row r="370" spans="1:8" s="236" customFormat="1" x14ac:dyDescent="0.25">
      <c r="A370" s="67" t="s">
        <v>687</v>
      </c>
      <c r="B370" s="68" t="s">
        <v>297</v>
      </c>
      <c r="C370" s="56" t="s">
        <v>634</v>
      </c>
      <c r="D370" s="57"/>
      <c r="E370" s="57"/>
      <c r="F370" s="57"/>
      <c r="H370" s="235"/>
    </row>
    <row r="371" spans="1:8" s="40" customFormat="1" ht="18" customHeight="1" x14ac:dyDescent="0.2">
      <c r="A371" s="159" t="s">
        <v>628</v>
      </c>
      <c r="B371" s="162" t="s">
        <v>297</v>
      </c>
      <c r="C371" s="162" t="s">
        <v>343</v>
      </c>
      <c r="D371" s="161">
        <f>D372+D373</f>
        <v>114056</v>
      </c>
      <c r="E371" s="161">
        <f t="shared" ref="E371:F371" si="57">E372+E373</f>
        <v>114649</v>
      </c>
      <c r="F371" s="161">
        <f t="shared" si="57"/>
        <v>114649</v>
      </c>
    </row>
    <row r="372" spans="1:8" s="40" customFormat="1" x14ac:dyDescent="0.25">
      <c r="A372" s="67" t="s">
        <v>629</v>
      </c>
      <c r="B372" s="68" t="s">
        <v>297</v>
      </c>
      <c r="C372" s="56" t="s">
        <v>343</v>
      </c>
      <c r="D372" s="57">
        <f>114649-593</f>
        <v>114056</v>
      </c>
      <c r="E372" s="246">
        <v>114649</v>
      </c>
      <c r="F372" s="246">
        <v>114649</v>
      </c>
      <c r="G372" s="66"/>
    </row>
    <row r="373" spans="1:8" s="40" customFormat="1" x14ac:dyDescent="0.25">
      <c r="A373" s="67" t="s">
        <v>630</v>
      </c>
      <c r="B373" s="68" t="s">
        <v>297</v>
      </c>
      <c r="C373" s="56" t="s">
        <v>343</v>
      </c>
      <c r="D373" s="246"/>
      <c r="E373" s="57"/>
      <c r="F373" s="57"/>
      <c r="G373" s="66"/>
    </row>
    <row r="374" spans="1:8" s="40" customFormat="1" ht="14.25" x14ac:dyDescent="0.2">
      <c r="A374" s="159" t="s">
        <v>628</v>
      </c>
      <c r="B374" s="162" t="s">
        <v>297</v>
      </c>
      <c r="C374" s="162" t="s">
        <v>341</v>
      </c>
      <c r="D374" s="161">
        <f>D375+D376</f>
        <v>593</v>
      </c>
      <c r="E374" s="161">
        <f t="shared" ref="E374:F374" si="58">E375+E376</f>
        <v>0</v>
      </c>
      <c r="F374" s="161">
        <f t="shared" si="58"/>
        <v>0</v>
      </c>
      <c r="G374" s="66"/>
    </row>
    <row r="375" spans="1:8" s="140" customFormat="1" x14ac:dyDescent="0.25">
      <c r="A375" s="55" t="s">
        <v>631</v>
      </c>
      <c r="B375" s="56" t="s">
        <v>297</v>
      </c>
      <c r="C375" s="56" t="s">
        <v>341</v>
      </c>
      <c r="D375" s="57">
        <v>593</v>
      </c>
      <c r="E375" s="57"/>
      <c r="F375" s="57"/>
      <c r="H375" s="139"/>
    </row>
    <row r="376" spans="1:8" s="40" customFormat="1" x14ac:dyDescent="0.25">
      <c r="A376" s="55" t="s">
        <v>632</v>
      </c>
      <c r="B376" s="56" t="s">
        <v>297</v>
      </c>
      <c r="C376" s="56" t="s">
        <v>341</v>
      </c>
      <c r="D376" s="57"/>
      <c r="E376" s="57"/>
      <c r="F376" s="57"/>
      <c r="G376" s="66"/>
      <c r="H376" s="66"/>
    </row>
    <row r="377" spans="1:8" s="40" customFormat="1" ht="18" customHeight="1" x14ac:dyDescent="0.2">
      <c r="A377" s="159" t="s">
        <v>474</v>
      </c>
      <c r="B377" s="160"/>
      <c r="C377" s="160"/>
      <c r="D377" s="161">
        <f>D378+D382</f>
        <v>2848590</v>
      </c>
      <c r="E377" s="161">
        <f t="shared" ref="E377:F377" si="59">E378+E382</f>
        <v>2848590</v>
      </c>
      <c r="F377" s="161">
        <f t="shared" si="59"/>
        <v>2848590</v>
      </c>
    </row>
    <row r="378" spans="1:8" s="40" customFormat="1" ht="18" customHeight="1" x14ac:dyDescent="0.2">
      <c r="A378" s="62" t="s">
        <v>322</v>
      </c>
      <c r="B378" s="63" t="s">
        <v>297</v>
      </c>
      <c r="C378" s="63" t="s">
        <v>290</v>
      </c>
      <c r="D378" s="65">
        <f>SUM(D380:D381)</f>
        <v>45722</v>
      </c>
      <c r="E378" s="65">
        <f t="shared" ref="E378:F378" si="60">SUM(E380:E381)</f>
        <v>45722</v>
      </c>
      <c r="F378" s="65">
        <f t="shared" si="60"/>
        <v>45722</v>
      </c>
      <c r="G378" s="66"/>
      <c r="H378" s="66"/>
    </row>
    <row r="379" spans="1:8" ht="15" customHeight="1" x14ac:dyDescent="0.25">
      <c r="A379" s="55" t="s">
        <v>311</v>
      </c>
      <c r="B379" s="56"/>
      <c r="C379" s="56"/>
      <c r="D379" s="57"/>
      <c r="E379" s="57"/>
      <c r="F379" s="57"/>
      <c r="G379" s="59"/>
      <c r="H379" s="59"/>
    </row>
    <row r="380" spans="1:8" s="40" customFormat="1" x14ac:dyDescent="0.25">
      <c r="A380" s="67" t="s">
        <v>466</v>
      </c>
      <c r="B380" s="56" t="s">
        <v>297</v>
      </c>
      <c r="C380" s="56" t="s">
        <v>290</v>
      </c>
      <c r="D380" s="57">
        <v>38522</v>
      </c>
      <c r="E380" s="57">
        <v>38522</v>
      </c>
      <c r="F380" s="57">
        <v>38522</v>
      </c>
      <c r="G380" s="66"/>
    </row>
    <row r="381" spans="1:8" s="140" customFormat="1" x14ac:dyDescent="0.25">
      <c r="A381" s="55" t="s">
        <v>469</v>
      </c>
      <c r="B381" s="56" t="s">
        <v>297</v>
      </c>
      <c r="C381" s="56" t="s">
        <v>290</v>
      </c>
      <c r="D381" s="57">
        <f>7200</f>
        <v>7200</v>
      </c>
      <c r="E381" s="57">
        <f>7200</f>
        <v>7200</v>
      </c>
      <c r="F381" s="57">
        <f>7200</f>
        <v>7200</v>
      </c>
      <c r="H381" s="139"/>
    </row>
    <row r="382" spans="1:8" s="40" customFormat="1" ht="18" customHeight="1" x14ac:dyDescent="0.2">
      <c r="A382" s="62" t="s">
        <v>342</v>
      </c>
      <c r="B382" s="63" t="s">
        <v>297</v>
      </c>
      <c r="C382" s="63" t="s">
        <v>343</v>
      </c>
      <c r="D382" s="65">
        <f>SUM(D384:D386)</f>
        <v>2802868</v>
      </c>
      <c r="E382" s="65">
        <f t="shared" ref="E382:F382" si="61">SUM(E384:E386)</f>
        <v>2802868</v>
      </c>
      <c r="F382" s="65">
        <f t="shared" si="61"/>
        <v>2802868</v>
      </c>
      <c r="G382" s="66"/>
      <c r="H382" s="66"/>
    </row>
    <row r="383" spans="1:8" ht="15" customHeight="1" x14ac:dyDescent="0.25">
      <c r="A383" s="55" t="s">
        <v>311</v>
      </c>
      <c r="B383" s="56"/>
      <c r="C383" s="56"/>
      <c r="D383" s="57"/>
      <c r="E383" s="57"/>
      <c r="F383" s="57"/>
      <c r="G383" s="59"/>
      <c r="H383" s="59"/>
    </row>
    <row r="384" spans="1:8" s="40" customFormat="1" x14ac:dyDescent="0.25">
      <c r="A384" s="67" t="s">
        <v>471</v>
      </c>
      <c r="B384" s="63"/>
      <c r="C384" s="63"/>
      <c r="D384" s="57">
        <v>2762868</v>
      </c>
      <c r="E384" s="57">
        <v>2762868</v>
      </c>
      <c r="F384" s="57">
        <v>2762868</v>
      </c>
      <c r="G384" s="66"/>
    </row>
    <row r="385" spans="1:8" s="140" customFormat="1" x14ac:dyDescent="0.25">
      <c r="A385" s="55" t="s">
        <v>472</v>
      </c>
      <c r="B385" s="63"/>
      <c r="C385" s="63"/>
      <c r="D385" s="57">
        <v>40000</v>
      </c>
      <c r="E385" s="57">
        <v>40000</v>
      </c>
      <c r="F385" s="57">
        <v>40000</v>
      </c>
      <c r="H385" s="139"/>
    </row>
    <row r="386" spans="1:8" s="40" customFormat="1" ht="14.25" x14ac:dyDescent="0.2">
      <c r="A386" s="62"/>
      <c r="B386" s="63"/>
      <c r="C386" s="63"/>
      <c r="D386" s="64"/>
      <c r="E386" s="64"/>
      <c r="F386" s="64"/>
      <c r="G386" s="66"/>
      <c r="H386" s="66"/>
    </row>
    <row r="387" spans="1:8" s="40" customFormat="1" ht="18" customHeight="1" x14ac:dyDescent="0.2">
      <c r="A387" s="159" t="s">
        <v>475</v>
      </c>
      <c r="B387" s="160"/>
      <c r="C387" s="160"/>
      <c r="D387" s="161">
        <f>D388</f>
        <v>135000</v>
      </c>
      <c r="E387" s="161">
        <f t="shared" ref="E387:F387" si="62">E388</f>
        <v>135000</v>
      </c>
      <c r="F387" s="161">
        <f t="shared" si="62"/>
        <v>135000</v>
      </c>
    </row>
    <row r="388" spans="1:8" s="40" customFormat="1" x14ac:dyDescent="0.25">
      <c r="A388" s="67" t="s">
        <v>471</v>
      </c>
      <c r="B388" s="63" t="s">
        <v>297</v>
      </c>
      <c r="C388" s="63" t="s">
        <v>343</v>
      </c>
      <c r="D388" s="57">
        <v>135000</v>
      </c>
      <c r="E388" s="57">
        <v>135000</v>
      </c>
      <c r="F388" s="57">
        <v>135000</v>
      </c>
      <c r="G388" s="66"/>
    </row>
    <row r="389" spans="1:8" s="140" customFormat="1" ht="28.5" x14ac:dyDescent="0.2">
      <c r="A389" s="299" t="s">
        <v>698</v>
      </c>
      <c r="B389" s="162" t="s">
        <v>699</v>
      </c>
      <c r="C389" s="162" t="s">
        <v>679</v>
      </c>
      <c r="D389" s="161">
        <f>D390</f>
        <v>0</v>
      </c>
      <c r="E389" s="161">
        <f t="shared" ref="E389:F389" si="63">E390</f>
        <v>0</v>
      </c>
      <c r="F389" s="161">
        <f t="shared" si="63"/>
        <v>0</v>
      </c>
      <c r="H389" s="139"/>
    </row>
    <row r="390" spans="1:8" s="40" customFormat="1" x14ac:dyDescent="0.25">
      <c r="A390" s="55" t="s">
        <v>700</v>
      </c>
      <c r="B390" s="56" t="s">
        <v>699</v>
      </c>
      <c r="C390" s="56" t="s">
        <v>310</v>
      </c>
      <c r="D390" s="57">
        <v>0</v>
      </c>
      <c r="E390" s="57"/>
      <c r="F390" s="57"/>
      <c r="G390" s="66"/>
      <c r="H390" s="66"/>
    </row>
    <row r="392" spans="1:8" x14ac:dyDescent="0.25">
      <c r="D392" s="44">
        <f>D7+D18</f>
        <v>5229101.7699999996</v>
      </c>
      <c r="E392" s="44">
        <f t="shared" ref="E392:F392" si="64">E7+E18</f>
        <v>4265019</v>
      </c>
      <c r="F392" s="44">
        <f t="shared" si="64"/>
        <v>4265019</v>
      </c>
    </row>
    <row r="393" spans="1:8" x14ac:dyDescent="0.25">
      <c r="C393" s="87" t="s">
        <v>614</v>
      </c>
      <c r="D393" s="44">
        <f>D392-D51</f>
        <v>82197</v>
      </c>
      <c r="E393" s="44">
        <f t="shared" ref="E393:F393" si="65">E392-E51</f>
        <v>65997</v>
      </c>
      <c r="F393" s="44">
        <f t="shared" si="65"/>
        <v>65997</v>
      </c>
    </row>
    <row r="395" spans="1:8" x14ac:dyDescent="0.25">
      <c r="D395" s="44">
        <f>SUM(D56,D57,D58,D63,D64,D80,D104,D119,D100,D103,D389)</f>
        <v>5131904.7699999996</v>
      </c>
      <c r="E395" s="44">
        <f t="shared" ref="E395:F395" si="66">SUM(E56,E57,E58,E63,E64,E80,E104,E119,E100,E103,E389)</f>
        <v>4184022</v>
      </c>
      <c r="F395" s="44">
        <f t="shared" si="66"/>
        <v>4184022</v>
      </c>
    </row>
  </sheetData>
  <autoFilter ref="A6:J6"/>
  <mergeCells count="4">
    <mergeCell ref="A4:A5"/>
    <mergeCell ref="B4:B5"/>
    <mergeCell ref="C4:C5"/>
    <mergeCell ref="D4:F4"/>
  </mergeCells>
  <pageMargins left="0" right="0" top="0" bottom="0" header="0" footer="0"/>
  <pageSetup paperSize="9" scale="77" fitToHeight="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topLeftCell="A4" zoomScale="80" zoomScaleNormal="80" workbookViewId="0">
      <selection activeCell="I20" sqref="I20"/>
    </sheetView>
  </sheetViews>
  <sheetFormatPr defaultRowHeight="15" x14ac:dyDescent="0.25"/>
  <cols>
    <col min="1" max="1" width="17" customWidth="1"/>
    <col min="2" max="2" width="40.7109375" customWidth="1"/>
    <col min="3" max="5" width="13.5703125" customWidth="1"/>
    <col min="6" max="8" width="12" hidden="1" customWidth="1"/>
    <col min="9" max="11" width="12.85546875" customWidth="1"/>
    <col min="12" max="14" width="12" hidden="1" customWidth="1"/>
    <col min="15" max="15" width="14.28515625" customWidth="1"/>
    <col min="16" max="16" width="14.5703125" customWidth="1"/>
    <col min="17" max="17" width="14" customWidth="1"/>
    <col min="18" max="20" width="13.28515625" customWidth="1"/>
    <col min="21" max="23" width="12" hidden="1" customWidth="1"/>
  </cols>
  <sheetData>
    <row r="1" spans="1:23" ht="36.75" customHeight="1" x14ac:dyDescent="0.25">
      <c r="B1" s="597" t="s">
        <v>617</v>
      </c>
      <c r="C1" s="599" t="s">
        <v>377</v>
      </c>
      <c r="D1" s="600"/>
      <c r="E1" s="601"/>
      <c r="F1" s="608" t="s">
        <v>378</v>
      </c>
      <c r="G1" s="609"/>
      <c r="H1" s="609"/>
      <c r="I1" s="609"/>
      <c r="J1" s="609"/>
      <c r="K1" s="609"/>
      <c r="L1" s="609"/>
      <c r="M1" s="609"/>
      <c r="N1" s="610"/>
      <c r="O1" s="611" t="s">
        <v>379</v>
      </c>
      <c r="P1" s="609"/>
      <c r="Q1" s="609"/>
      <c r="R1" s="609"/>
      <c r="S1" s="609"/>
      <c r="T1" s="609"/>
      <c r="U1" s="609"/>
      <c r="V1" s="609"/>
      <c r="W1" s="612"/>
    </row>
    <row r="2" spans="1:23" ht="45" customHeight="1" x14ac:dyDescent="0.25">
      <c r="B2" s="598"/>
      <c r="C2" s="602"/>
      <c r="D2" s="603"/>
      <c r="E2" s="604"/>
      <c r="F2" s="595" t="s">
        <v>380</v>
      </c>
      <c r="G2" s="594"/>
      <c r="H2" s="594"/>
      <c r="I2" s="613" t="s">
        <v>381</v>
      </c>
      <c r="J2" s="614"/>
      <c r="K2" s="614"/>
      <c r="L2" s="614"/>
      <c r="M2" s="614"/>
      <c r="N2" s="595"/>
      <c r="O2" s="615" t="s">
        <v>382</v>
      </c>
      <c r="P2" s="616"/>
      <c r="Q2" s="617"/>
      <c r="R2" s="621" t="s">
        <v>383</v>
      </c>
      <c r="S2" s="621"/>
      <c r="T2" s="621"/>
      <c r="U2" s="594"/>
      <c r="V2" s="594"/>
      <c r="W2" s="596"/>
    </row>
    <row r="3" spans="1:23" ht="15" customHeight="1" x14ac:dyDescent="0.25">
      <c r="B3" s="622" t="str">
        <f>'Титульный лист'!D32</f>
        <v>«  28  » мая 2021 г.</v>
      </c>
      <c r="C3" s="605"/>
      <c r="D3" s="606"/>
      <c r="E3" s="607"/>
      <c r="F3" s="595"/>
      <c r="G3" s="594"/>
      <c r="H3" s="594"/>
      <c r="I3" s="594" t="s">
        <v>262</v>
      </c>
      <c r="J3" s="594"/>
      <c r="K3" s="594"/>
      <c r="L3" s="594" t="s">
        <v>384</v>
      </c>
      <c r="M3" s="594"/>
      <c r="N3" s="594"/>
      <c r="O3" s="618"/>
      <c r="P3" s="619"/>
      <c r="Q3" s="620"/>
      <c r="R3" s="594" t="s">
        <v>385</v>
      </c>
      <c r="S3" s="594"/>
      <c r="T3" s="594"/>
      <c r="U3" s="595" t="s">
        <v>386</v>
      </c>
      <c r="V3" s="594"/>
      <c r="W3" s="596"/>
    </row>
    <row r="4" spans="1:23" s="214" customFormat="1" ht="60" customHeight="1" x14ac:dyDescent="0.25">
      <c r="B4" s="623"/>
      <c r="C4" s="98" t="str">
        <f>Форма!F179</f>
        <v>на 2021 г. текущий финансовый год</v>
      </c>
      <c r="D4" s="99" t="str">
        <f>Форма!G179</f>
        <v>на 2022 г. первый год планового периода</v>
      </c>
      <c r="E4" s="100" t="str">
        <f>Форма!H179</f>
        <v>на 2023 г. второй год планового периода</v>
      </c>
      <c r="F4" s="101" t="str">
        <f>C4</f>
        <v>на 2021 г. текущий финансовый год</v>
      </c>
      <c r="G4" s="99" t="str">
        <f t="shared" ref="G4:N4" si="0">D4</f>
        <v>на 2022 г. первый год планового периода</v>
      </c>
      <c r="H4" s="99" t="str">
        <f t="shared" si="0"/>
        <v>на 2023 г. второй год планового периода</v>
      </c>
      <c r="I4" s="99" t="str">
        <f t="shared" si="0"/>
        <v>на 2021 г. текущий финансовый год</v>
      </c>
      <c r="J4" s="99" t="str">
        <f t="shared" si="0"/>
        <v>на 2022 г. первый год планового периода</v>
      </c>
      <c r="K4" s="99" t="str">
        <f t="shared" si="0"/>
        <v>на 2023 г. второй год планового периода</v>
      </c>
      <c r="L4" s="99" t="str">
        <f t="shared" si="0"/>
        <v>на 2021 г. текущий финансовый год</v>
      </c>
      <c r="M4" s="99" t="str">
        <f t="shared" si="0"/>
        <v>на 2022 г. первый год планового периода</v>
      </c>
      <c r="N4" s="99" t="str">
        <f t="shared" si="0"/>
        <v>на 2023 г. второй год планового периода</v>
      </c>
      <c r="O4" s="99" t="str">
        <f>L4</f>
        <v>на 2021 г. текущий финансовый год</v>
      </c>
      <c r="P4" s="99" t="str">
        <f t="shared" ref="P4:W4" si="1">M4</f>
        <v>на 2022 г. первый год планового периода</v>
      </c>
      <c r="Q4" s="102" t="str">
        <f t="shared" si="1"/>
        <v>на 2023 г. второй год планового периода</v>
      </c>
      <c r="R4" s="99" t="str">
        <f t="shared" si="1"/>
        <v>на 2021 г. текущий финансовый год</v>
      </c>
      <c r="S4" s="99" t="str">
        <f t="shared" si="1"/>
        <v>на 2022 г. первый год планового периода</v>
      </c>
      <c r="T4" s="99" t="str">
        <f t="shared" si="1"/>
        <v>на 2023 г. второй год планового периода</v>
      </c>
      <c r="U4" s="101" t="str">
        <f t="shared" si="1"/>
        <v>на 2021 г. текущий финансовый год</v>
      </c>
      <c r="V4" s="99" t="str">
        <f t="shared" si="1"/>
        <v>на 2022 г. первый год планового периода</v>
      </c>
      <c r="W4" s="100" t="str">
        <f t="shared" si="1"/>
        <v>на 2023 г. второй год планового периода</v>
      </c>
    </row>
    <row r="5" spans="1:23" x14ac:dyDescent="0.25">
      <c r="B5" s="624"/>
      <c r="C5" s="103">
        <f>SUM(C6:C22)</f>
        <v>6136050.1199999992</v>
      </c>
      <c r="D5" s="104">
        <f t="shared" ref="D5:W5" si="2">SUM(D6:D22)</f>
        <v>5122412.2699999996</v>
      </c>
      <c r="E5" s="105">
        <f t="shared" si="2"/>
        <v>5122412.2699999996</v>
      </c>
      <c r="F5" s="106">
        <f t="shared" si="2"/>
        <v>0</v>
      </c>
      <c r="G5" s="104">
        <f t="shared" si="2"/>
        <v>0</v>
      </c>
      <c r="H5" s="104">
        <f t="shared" si="2"/>
        <v>0</v>
      </c>
      <c r="I5" s="104">
        <f t="shared" si="2"/>
        <v>808157.84</v>
      </c>
      <c r="J5" s="104">
        <f>SUM(J6:J22)</f>
        <v>0</v>
      </c>
      <c r="K5" s="104">
        <f t="shared" si="2"/>
        <v>0</v>
      </c>
      <c r="L5" s="104">
        <f t="shared" si="2"/>
        <v>0</v>
      </c>
      <c r="M5" s="104">
        <f t="shared" si="2"/>
        <v>0</v>
      </c>
      <c r="N5" s="104">
        <f t="shared" si="2"/>
        <v>0</v>
      </c>
      <c r="O5" s="104">
        <f t="shared" si="2"/>
        <v>3671200</v>
      </c>
      <c r="P5" s="104">
        <f t="shared" si="2"/>
        <v>3260048</v>
      </c>
      <c r="Q5" s="107">
        <f t="shared" si="2"/>
        <v>3260048</v>
      </c>
      <c r="R5" s="104">
        <f t="shared" si="2"/>
        <v>1656692.2799999996</v>
      </c>
      <c r="S5" s="104">
        <f t="shared" si="2"/>
        <v>1862364.27</v>
      </c>
      <c r="T5" s="104">
        <f t="shared" si="2"/>
        <v>1862364.27</v>
      </c>
      <c r="U5" s="106">
        <f t="shared" si="2"/>
        <v>0</v>
      </c>
      <c r="V5" s="104">
        <f t="shared" si="2"/>
        <v>0</v>
      </c>
      <c r="W5" s="105">
        <f t="shared" si="2"/>
        <v>0</v>
      </c>
    </row>
    <row r="6" spans="1:23" x14ac:dyDescent="0.25">
      <c r="A6" t="s">
        <v>483</v>
      </c>
      <c r="B6" s="222" t="str">
        <f>'Утверждено (МЗ,ОП,ИЦ,КАП)'!A6</f>
        <v>911 0701 09100 29110 611 241</v>
      </c>
      <c r="C6" s="108">
        <f>'Утверждено (МЗ,ОП,ИЦ,КАП)'!I13+'Утверждено (МЗ,ОП,ИЦ,КАП)'!I16+'Утверждено (МЗ,ОП,ИЦ,КАП)'!I17+'Утверждено (МЗ,ОП,ИЦ,КАП)'!I22+'Утверждено (МЗ,ОП,ИЦ,КАП)'!I23+'Утверждено (МЗ,ОП,ИЦ,КАП)'!I41+'Утверждено (МЗ,ОП,ИЦ,КАП)'!I57+'Утверждено (МЗ,ОП,ИЦ,КАП)'!I58+'Утверждено (МЗ,ОП,ИЦ,КАП)'!I143+'Утверждено (МЗ,ОП,ИЦ,КАП)'!I52</f>
        <v>857623.39</v>
      </c>
      <c r="D6" s="109">
        <f>'Утверждено (МЗ,ОП,ИЦ,КАП)'!J13+'Утверждено (МЗ,ОП,ИЦ,КАП)'!J16+'Утверждено (МЗ,ОП,ИЦ,КАП)'!J17+'Утверждено (МЗ,ОП,ИЦ,КАП)'!J22+'Утверждено (МЗ,ОП,ИЦ,КАП)'!J23+'Утверждено (МЗ,ОП,ИЦ,КАП)'!J41+'Утверждено (МЗ,ОП,ИЦ,КАП)'!J57+'Утверждено (МЗ,ОП,ИЦ,КАП)'!J58+'Утверждено (МЗ,ОП,ИЦ,КАП)'!J143+'Утверждено (МЗ,ОП,ИЦ,КАП)'!J52</f>
        <v>830687.59</v>
      </c>
      <c r="E6" s="179">
        <f>'Утверждено (МЗ,ОП,ИЦ,КАП)'!K13+'Утверждено (МЗ,ОП,ИЦ,КАП)'!K16+'Утверждено (МЗ,ОП,ИЦ,КАП)'!K17+'Утверждено (МЗ,ОП,ИЦ,КАП)'!K22+'Утверждено (МЗ,ОП,ИЦ,КАП)'!K23+'Утверждено (МЗ,ОП,ИЦ,КАП)'!K41+'Утверждено (МЗ,ОП,ИЦ,КАП)'!K57+'Утверждено (МЗ,ОП,ИЦ,КАП)'!K58+'Утверждено (МЗ,ОП,ИЦ,КАП)'!K143+'Утверждено (МЗ,ОП,ИЦ,КАП)'!K52</f>
        <v>830687.59</v>
      </c>
      <c r="F6" s="110"/>
      <c r="G6" s="109"/>
      <c r="H6" s="109"/>
      <c r="I6" s="178">
        <f>информ.!B11</f>
        <v>679994.40999999992</v>
      </c>
      <c r="J6" s="178">
        <f>информ.!B24</f>
        <v>0</v>
      </c>
      <c r="K6" s="109"/>
      <c r="L6" s="109"/>
      <c r="M6" s="109"/>
      <c r="N6" s="109"/>
      <c r="O6" s="109">
        <f>информ.!B12</f>
        <v>83484</v>
      </c>
      <c r="P6" s="109">
        <f>информ.!B25</f>
        <v>83484</v>
      </c>
      <c r="Q6" s="111">
        <f>P6</f>
        <v>83484</v>
      </c>
      <c r="R6" s="109">
        <f>C6-I6-O6</f>
        <v>94144.980000000098</v>
      </c>
      <c r="S6" s="109">
        <f t="shared" ref="S6:T6" si="3">D6-J6-P6</f>
        <v>747203.59</v>
      </c>
      <c r="T6" s="109">
        <f t="shared" si="3"/>
        <v>747203.59</v>
      </c>
      <c r="U6" s="110"/>
      <c r="V6" s="109"/>
      <c r="W6" s="179"/>
    </row>
    <row r="7" spans="1:23" x14ac:dyDescent="0.25">
      <c r="A7" t="s">
        <v>389</v>
      </c>
      <c r="B7" s="222" t="str">
        <f>'Утверждено (МЗ,ОП,ИЦ,КАП)'!A63</f>
        <v>911 0701 23000 29110 611 241</v>
      </c>
      <c r="C7" s="108">
        <f>'Утверждено (МЗ,ОП,ИЦ,КАП)'!I64+'Утверждено (МЗ,ОП,ИЦ,КАП)'!I65+'Утверждено (МЗ,ОП,ИЦ,КАП)'!I66</f>
        <v>49539.64</v>
      </c>
      <c r="D7" s="109">
        <f>'Утверждено (МЗ,ОП,ИЦ,КАП)'!J64+'Утверждено (МЗ,ОП,ИЦ,КАП)'!J65+'Утверждено (МЗ,ОП,ИЦ,КАП)'!J66</f>
        <v>36950.68</v>
      </c>
      <c r="E7" s="179">
        <f>'Утверждено (МЗ,ОП,ИЦ,КАП)'!K64+'Утверждено (МЗ,ОП,ИЦ,КАП)'!K65+'Утверждено (МЗ,ОП,ИЦ,КАП)'!K66</f>
        <v>36950.68</v>
      </c>
      <c r="F7" s="110"/>
      <c r="G7" s="109"/>
      <c r="H7" s="109"/>
      <c r="I7" s="178">
        <f>информ.!D11</f>
        <v>5132.1400000000003</v>
      </c>
      <c r="J7" s="178">
        <f>информ.!D24</f>
        <v>0</v>
      </c>
      <c r="K7" s="109"/>
      <c r="L7" s="109"/>
      <c r="M7" s="109"/>
      <c r="N7" s="109"/>
      <c r="O7" s="109"/>
      <c r="P7" s="109"/>
      <c r="Q7" s="111"/>
      <c r="R7" s="109">
        <f t="shared" ref="R7:R9" si="4">C7-I7-O7</f>
        <v>44407.5</v>
      </c>
      <c r="S7" s="109">
        <f t="shared" ref="S7:S9" si="5">D7-J7-P7</f>
        <v>36950.68</v>
      </c>
      <c r="T7" s="109">
        <f t="shared" ref="T7:T9" si="6">E7-K7-Q7</f>
        <v>36950.68</v>
      </c>
      <c r="U7" s="110"/>
      <c r="V7" s="109"/>
      <c r="W7" s="179"/>
    </row>
    <row r="8" spans="1:23" x14ac:dyDescent="0.25">
      <c r="A8" t="s">
        <v>390</v>
      </c>
      <c r="B8" s="222" t="str">
        <f>'Утверждено (МЗ,ОП,ИЦ,КАП)'!A70</f>
        <v>911 0701 21000 29110 611 241</v>
      </c>
      <c r="C8" s="108">
        <f>'Утверждено (МЗ,ОП,ИЦ,КАП)'!I71</f>
        <v>0</v>
      </c>
      <c r="D8" s="109">
        <f>'Утверждено (МЗ,ОП,ИЦ,КАП)'!J71</f>
        <v>0</v>
      </c>
      <c r="E8" s="179">
        <f>'Утверждено (МЗ,ОП,ИЦ,КАП)'!K71</f>
        <v>0</v>
      </c>
      <c r="F8" s="108">
        <f>'Утверждено (МЗ,ОП,ИЦ,КАП)'!L71</f>
        <v>0</v>
      </c>
      <c r="G8" s="109">
        <f>'Утверждено (МЗ,ОП,ИЦ,КАП)'!M71</f>
        <v>0</v>
      </c>
      <c r="H8" s="109">
        <f>'Утверждено (МЗ,ОП,ИЦ,КАП)'!N71</f>
        <v>0</v>
      </c>
      <c r="I8" s="178">
        <f>информ.!C11</f>
        <v>0</v>
      </c>
      <c r="J8" s="178">
        <f>информ.!C24</f>
        <v>0</v>
      </c>
      <c r="K8" s="109"/>
      <c r="L8" s="109"/>
      <c r="M8" s="109"/>
      <c r="N8" s="109"/>
      <c r="O8" s="109"/>
      <c r="P8" s="109"/>
      <c r="Q8" s="111"/>
      <c r="R8" s="109">
        <f t="shared" si="4"/>
        <v>0</v>
      </c>
      <c r="S8" s="109">
        <f t="shared" si="5"/>
        <v>0</v>
      </c>
      <c r="T8" s="109">
        <f t="shared" si="6"/>
        <v>0</v>
      </c>
      <c r="U8" s="110"/>
      <c r="V8" s="109"/>
      <c r="W8" s="179"/>
    </row>
    <row r="9" spans="1:23" x14ac:dyDescent="0.25">
      <c r="A9" t="s">
        <v>731</v>
      </c>
      <c r="B9" s="302" t="str">
        <f>'Утверждено (МЗ,ОП,ИЦ,КАП)'!A67</f>
        <v>911 0701 20300 29110 611 241</v>
      </c>
      <c r="C9" s="108">
        <f>'Утверждено (МЗ,ОП,ИЦ,КАП)'!I67</f>
        <v>28800</v>
      </c>
      <c r="D9" s="109">
        <f>'Утверждено (МЗ,ОП,ИЦ,КАП)'!J67</f>
        <v>28800</v>
      </c>
      <c r="E9" s="179">
        <f>'Утверждено (МЗ,ОП,ИЦ,КАП)'!K67</f>
        <v>28800</v>
      </c>
      <c r="F9" s="110"/>
      <c r="G9" s="109"/>
      <c r="H9" s="109"/>
      <c r="I9" s="178">
        <f>информ.!E11</f>
        <v>800</v>
      </c>
      <c r="J9" s="178">
        <f>информ.!E24</f>
        <v>0</v>
      </c>
      <c r="K9" s="109"/>
      <c r="L9" s="109"/>
      <c r="M9" s="109"/>
      <c r="N9" s="109"/>
      <c r="O9" s="109"/>
      <c r="P9" s="109"/>
      <c r="Q9" s="111"/>
      <c r="R9" s="109">
        <f t="shared" si="4"/>
        <v>28000</v>
      </c>
      <c r="S9" s="109">
        <f t="shared" si="5"/>
        <v>28800</v>
      </c>
      <c r="T9" s="109">
        <f t="shared" si="6"/>
        <v>28800</v>
      </c>
      <c r="U9" s="114"/>
      <c r="V9" s="112"/>
      <c r="W9" s="113"/>
    </row>
    <row r="10" spans="1:23" x14ac:dyDescent="0.25">
      <c r="B10" s="222"/>
      <c r="C10" s="108"/>
      <c r="D10" s="109"/>
      <c r="E10" s="179"/>
      <c r="F10" s="110"/>
      <c r="G10" s="109"/>
      <c r="H10" s="109"/>
      <c r="I10" s="178"/>
      <c r="J10" s="178"/>
      <c r="K10" s="109"/>
      <c r="L10" s="109"/>
      <c r="M10" s="109"/>
      <c r="N10" s="109"/>
      <c r="O10" s="109"/>
      <c r="P10" s="109"/>
      <c r="Q10" s="111"/>
      <c r="R10" s="109"/>
      <c r="S10" s="109"/>
      <c r="T10" s="109"/>
      <c r="U10" s="114"/>
      <c r="V10" s="112"/>
      <c r="W10" s="113"/>
    </row>
    <row r="11" spans="1:23" x14ac:dyDescent="0.25">
      <c r="A11" t="s">
        <v>484</v>
      </c>
      <c r="B11" s="222" t="str">
        <f>'Утверждено (МЗ,ОП,ИЦ,КАП)'!A112</f>
        <v>911 0701 09100 71800 611 241</v>
      </c>
      <c r="C11" s="108">
        <f>'Утверждено (МЗ,ОП,ИЦ,КАП)'!I116+'Утверждено (МЗ,ОП,ИЦ,КАП)'!I120+'Утверждено (МЗ,ОП,ИЦ,КАП)'!I121+'Утверждено (МЗ,ОП,ИЦ,КАП)'!I122</f>
        <v>41952</v>
      </c>
      <c r="D11" s="109">
        <f>'Утверждено (МЗ,ОП,ИЦ,КАП)'!J116+'Утверждено (МЗ,ОП,ИЦ,КАП)'!J120+'Утверждено (МЗ,ОП,ИЦ,КАП)'!J121+'Утверждено (МЗ,ОП,ИЦ,КАП)'!J122</f>
        <v>41952</v>
      </c>
      <c r="E11" s="179">
        <f>'Утверждено (МЗ,ОП,ИЦ,КАП)'!K116+'Утверждено (МЗ,ОП,ИЦ,КАП)'!K120+'Утверждено (МЗ,ОП,ИЦ,КАП)'!K121+'Утверждено (МЗ,ОП,ИЦ,КАП)'!K122</f>
        <v>41952</v>
      </c>
      <c r="F11" s="110"/>
      <c r="G11" s="109"/>
      <c r="H11" s="109"/>
      <c r="I11" s="178">
        <f>информ.!F11</f>
        <v>1830</v>
      </c>
      <c r="J11" s="178">
        <f>информ.!F24</f>
        <v>0</v>
      </c>
      <c r="K11" s="109"/>
      <c r="L11" s="109"/>
      <c r="M11" s="109"/>
      <c r="N11" s="109"/>
      <c r="O11" s="109"/>
      <c r="P11" s="109"/>
      <c r="Q11" s="111"/>
      <c r="R11" s="109">
        <f t="shared" ref="R11" si="7">C11-I11-O11</f>
        <v>40122</v>
      </c>
      <c r="S11" s="109">
        <f t="shared" ref="S11" si="8">D11-J11-P11</f>
        <v>41952</v>
      </c>
      <c r="T11" s="109">
        <f t="shared" ref="T11" si="9">E11-K11-Q11</f>
        <v>41952</v>
      </c>
      <c r="U11" s="114"/>
      <c r="V11" s="112"/>
      <c r="W11" s="113"/>
    </row>
    <row r="12" spans="1:23" x14ac:dyDescent="0.25">
      <c r="B12" s="222"/>
      <c r="C12" s="108"/>
      <c r="D12" s="109"/>
      <c r="E12" s="179"/>
      <c r="F12" s="110"/>
      <c r="G12" s="109"/>
      <c r="H12" s="109"/>
      <c r="I12" s="178"/>
      <c r="J12" s="178"/>
      <c r="K12" s="109"/>
      <c r="L12" s="109"/>
      <c r="M12" s="109"/>
      <c r="N12" s="109"/>
      <c r="O12" s="109"/>
      <c r="P12" s="109"/>
      <c r="Q12" s="111"/>
      <c r="R12" s="109"/>
      <c r="S12" s="109"/>
      <c r="T12" s="109"/>
      <c r="U12" s="114"/>
      <c r="V12" s="112"/>
      <c r="W12" s="113"/>
    </row>
    <row r="13" spans="1:23" x14ac:dyDescent="0.25">
      <c r="A13" t="s">
        <v>481</v>
      </c>
      <c r="B13" s="222" t="str">
        <f>'Утверждено (МЗ,ОП,ИЦ,КАП)'!A137</f>
        <v>911 0701 09100 29110 612 999</v>
      </c>
      <c r="C13" s="108">
        <f>'Утверждено (МЗ,ОП,ИЦ,КАП)'!I133+'Утверждено (МЗ,ОП,ИЦ,КАП)'!I143+'Утверждено (МЗ,ОП,ИЦ,КАП)'!I147</f>
        <v>0</v>
      </c>
      <c r="D13" s="109">
        <f>'Утверждено (МЗ,ОП,ИЦ,КАП)'!J133+'Утверждено (МЗ,ОП,ИЦ,КАП)'!J143+'Утверждено (МЗ,ОП,ИЦ,КАП)'!J147</f>
        <v>0</v>
      </c>
      <c r="E13" s="179">
        <f>'Утверждено (МЗ,ОП,ИЦ,КАП)'!K133+'Утверждено (МЗ,ОП,ИЦ,КАП)'!K143+'Утверждено (МЗ,ОП,ИЦ,КАП)'!K147</f>
        <v>0</v>
      </c>
      <c r="F13" s="110"/>
      <c r="G13" s="109"/>
      <c r="H13" s="109"/>
      <c r="I13" s="178">
        <f>информ.!G11</f>
        <v>0</v>
      </c>
      <c r="J13" s="178">
        <f>информ.!G24</f>
        <v>0</v>
      </c>
      <c r="K13" s="109"/>
      <c r="L13" s="109"/>
      <c r="M13" s="109"/>
      <c r="N13" s="109"/>
      <c r="O13" s="109"/>
      <c r="P13" s="109"/>
      <c r="Q13" s="111"/>
      <c r="R13" s="109">
        <f t="shared" ref="R13:R15" si="10">C13-I13-O13</f>
        <v>0</v>
      </c>
      <c r="S13" s="109">
        <f t="shared" ref="S13:S15" si="11">D13-J13-P13</f>
        <v>0</v>
      </c>
      <c r="T13" s="109">
        <f t="shared" ref="T13:T15" si="12">E13-K13-Q13</f>
        <v>0</v>
      </c>
      <c r="U13" s="114"/>
      <c r="V13" s="112"/>
      <c r="W13" s="113"/>
    </row>
    <row r="14" spans="1:23" x14ac:dyDescent="0.25">
      <c r="B14" s="222" t="str">
        <f>'Утверждено (МЗ,ОП,ИЦ,КАП)'!A176</f>
        <v>911 0701 20300 29110 612 999</v>
      </c>
      <c r="C14" s="108">
        <f>'Утверждено (МЗ,ОП,ИЦ,КАП)'!I176</f>
        <v>0</v>
      </c>
      <c r="D14" s="109">
        <f>'Утверждено (МЗ,ОП,ИЦ,КАП)'!J176</f>
        <v>0</v>
      </c>
      <c r="E14" s="179">
        <f>'Утверждено (МЗ,ОП,ИЦ,КАП)'!K176</f>
        <v>0</v>
      </c>
      <c r="F14" s="110"/>
      <c r="G14" s="109"/>
      <c r="H14" s="109"/>
      <c r="I14" s="178"/>
      <c r="J14" s="178"/>
      <c r="K14" s="109"/>
      <c r="L14" s="109"/>
      <c r="M14" s="109"/>
      <c r="N14" s="109"/>
      <c r="O14" s="109"/>
      <c r="P14" s="109"/>
      <c r="Q14" s="111"/>
      <c r="R14" s="109">
        <f t="shared" si="10"/>
        <v>0</v>
      </c>
      <c r="S14" s="109">
        <f t="shared" si="11"/>
        <v>0</v>
      </c>
      <c r="T14" s="109">
        <f t="shared" si="12"/>
        <v>0</v>
      </c>
      <c r="U14" s="114"/>
      <c r="V14" s="112"/>
      <c r="W14" s="113"/>
    </row>
    <row r="15" spans="1:23" x14ac:dyDescent="0.25">
      <c r="B15" s="222" t="str">
        <f>'Утверждено (МЗ,ОП,ИЦ,КАП)'!A181</f>
        <v>911 0701 23000 29110 612 999</v>
      </c>
      <c r="C15" s="108">
        <f>'Утверждено (МЗ,ОП,ИЦ,КАП)'!I181</f>
        <v>26230.32</v>
      </c>
      <c r="D15" s="109">
        <f>'Утверждено (МЗ,ОП,ИЦ,КАП)'!J181</f>
        <v>0</v>
      </c>
      <c r="E15" s="179">
        <f>'Утверждено (МЗ,ОП,ИЦ,КАП)'!K181</f>
        <v>0</v>
      </c>
      <c r="F15" s="110"/>
      <c r="G15" s="109"/>
      <c r="H15" s="109"/>
      <c r="I15" s="178"/>
      <c r="J15" s="178"/>
      <c r="K15" s="109"/>
      <c r="L15" s="109"/>
      <c r="M15" s="109"/>
      <c r="N15" s="109"/>
      <c r="O15" s="109"/>
      <c r="P15" s="109"/>
      <c r="Q15" s="111"/>
      <c r="R15" s="109">
        <f t="shared" si="10"/>
        <v>26230.32</v>
      </c>
      <c r="S15" s="109">
        <f t="shared" si="11"/>
        <v>0</v>
      </c>
      <c r="T15" s="109">
        <f t="shared" si="12"/>
        <v>0</v>
      </c>
      <c r="U15" s="114"/>
      <c r="V15" s="112"/>
      <c r="W15" s="113"/>
    </row>
    <row r="16" spans="1:23" x14ac:dyDescent="0.25">
      <c r="B16" s="222"/>
      <c r="C16" s="108"/>
      <c r="D16" s="109"/>
      <c r="E16" s="179"/>
      <c r="F16" s="110"/>
      <c r="G16" s="109"/>
      <c r="H16" s="109"/>
      <c r="I16" s="178"/>
      <c r="J16" s="178"/>
      <c r="K16" s="109"/>
      <c r="L16" s="109"/>
      <c r="M16" s="109"/>
      <c r="N16" s="109"/>
      <c r="O16" s="109"/>
      <c r="P16" s="109"/>
      <c r="Q16" s="111"/>
      <c r="R16" s="109"/>
      <c r="S16" s="109"/>
      <c r="T16" s="109"/>
      <c r="U16" s="114"/>
      <c r="V16" s="112"/>
      <c r="W16" s="113"/>
    </row>
    <row r="17" spans="1:23" x14ac:dyDescent="0.25">
      <c r="B17" s="222"/>
      <c r="C17" s="108"/>
      <c r="D17" s="109"/>
      <c r="E17" s="179"/>
      <c r="F17" s="110"/>
      <c r="G17" s="109"/>
      <c r="H17" s="109"/>
      <c r="I17" s="178"/>
      <c r="J17" s="178"/>
      <c r="K17" s="109"/>
      <c r="L17" s="109"/>
      <c r="M17" s="109"/>
      <c r="N17" s="109"/>
      <c r="O17" s="109"/>
      <c r="P17" s="109"/>
      <c r="Q17" s="111"/>
      <c r="R17" s="109"/>
      <c r="S17" s="109"/>
      <c r="T17" s="109"/>
      <c r="U17" s="114"/>
      <c r="V17" s="112"/>
      <c r="W17" s="113"/>
    </row>
    <row r="18" spans="1:23" x14ac:dyDescent="0.25">
      <c r="B18" s="222"/>
      <c r="C18" s="108"/>
      <c r="D18" s="109"/>
      <c r="E18" s="179"/>
      <c r="F18" s="110"/>
      <c r="G18" s="109"/>
      <c r="H18" s="109"/>
      <c r="I18" s="178"/>
      <c r="J18" s="178"/>
      <c r="K18" s="109"/>
      <c r="L18" s="109"/>
      <c r="M18" s="109"/>
      <c r="N18" s="109"/>
      <c r="O18" s="109"/>
      <c r="P18" s="109"/>
      <c r="Q18" s="111"/>
      <c r="R18" s="109"/>
      <c r="S18" s="109"/>
      <c r="T18" s="109"/>
      <c r="U18" s="114"/>
      <c r="V18" s="112"/>
      <c r="W18" s="113"/>
    </row>
    <row r="19" spans="1:23" x14ac:dyDescent="0.25">
      <c r="B19" s="222"/>
      <c r="C19" s="108"/>
      <c r="D19" s="109"/>
      <c r="E19" s="179"/>
      <c r="F19" s="110"/>
      <c r="G19" s="109"/>
      <c r="H19" s="109"/>
      <c r="I19" s="178"/>
      <c r="J19" s="178"/>
      <c r="K19" s="109"/>
      <c r="L19" s="109"/>
      <c r="M19" s="109"/>
      <c r="N19" s="109"/>
      <c r="O19" s="109"/>
      <c r="P19" s="109"/>
      <c r="Q19" s="111"/>
      <c r="R19" s="109"/>
      <c r="S19" s="109"/>
      <c r="T19" s="109"/>
      <c r="U19" s="114"/>
      <c r="V19" s="112"/>
      <c r="W19" s="113"/>
    </row>
    <row r="20" spans="1:23" x14ac:dyDescent="0.25">
      <c r="B20" s="222"/>
      <c r="C20" s="108"/>
      <c r="D20" s="109"/>
      <c r="E20" s="179"/>
      <c r="F20" s="110"/>
      <c r="G20" s="109"/>
      <c r="H20" s="109"/>
      <c r="I20" s="178"/>
      <c r="J20" s="178"/>
      <c r="K20" s="109"/>
      <c r="L20" s="109"/>
      <c r="M20" s="109"/>
      <c r="N20" s="109"/>
      <c r="O20" s="109"/>
      <c r="P20" s="109"/>
      <c r="Q20" s="111"/>
      <c r="R20" s="109"/>
      <c r="S20" s="109"/>
      <c r="T20" s="109"/>
      <c r="U20" s="114"/>
      <c r="V20" s="112"/>
      <c r="W20" s="113"/>
    </row>
    <row r="21" spans="1:23" x14ac:dyDescent="0.25">
      <c r="B21" s="222"/>
      <c r="C21" s="108"/>
      <c r="D21" s="109"/>
      <c r="E21" s="179"/>
      <c r="F21" s="110"/>
      <c r="G21" s="109"/>
      <c r="H21" s="109"/>
      <c r="I21" s="178"/>
      <c r="J21" s="178"/>
      <c r="K21" s="109"/>
      <c r="L21" s="109"/>
      <c r="M21" s="109"/>
      <c r="N21" s="109"/>
      <c r="O21" s="109"/>
      <c r="P21" s="109"/>
      <c r="Q21" s="111"/>
      <c r="R21" s="109"/>
      <c r="S21" s="109"/>
      <c r="T21" s="109"/>
      <c r="U21" s="114"/>
      <c r="V21" s="112"/>
      <c r="W21" s="113"/>
    </row>
    <row r="22" spans="1:23" ht="15.75" thickBot="1" x14ac:dyDescent="0.3">
      <c r="A22" t="s">
        <v>482</v>
      </c>
      <c r="B22" s="223" t="str">
        <f>'Утверждено (ПДД)'!G51</f>
        <v>911 0000 00000 00000 000 241</v>
      </c>
      <c r="C22" s="142">
        <f>'Утверждено (ПДД)'!D395</f>
        <v>5131904.7699999996</v>
      </c>
      <c r="D22" s="217">
        <f>'Утверждено (ПДД)'!E395</f>
        <v>4184022</v>
      </c>
      <c r="E22" s="218">
        <f>'Утверждено (ПДД)'!F395</f>
        <v>4184022</v>
      </c>
      <c r="F22" s="224"/>
      <c r="G22" s="217"/>
      <c r="H22" s="217"/>
      <c r="I22" s="219">
        <f>информ.!H11</f>
        <v>120401.29000000001</v>
      </c>
      <c r="J22" s="219">
        <f>информ.!H24</f>
        <v>0</v>
      </c>
      <c r="K22" s="217">
        <f>информ.!J12</f>
        <v>0</v>
      </c>
      <c r="L22" s="217"/>
      <c r="M22" s="217"/>
      <c r="N22" s="217"/>
      <c r="O22" s="217">
        <f>информ.!H12</f>
        <v>3587716</v>
      </c>
      <c r="P22" s="217">
        <f>информ.!H25</f>
        <v>3176564</v>
      </c>
      <c r="Q22" s="220">
        <f>P22</f>
        <v>3176564</v>
      </c>
      <c r="R22" s="217">
        <f>C22-I22-O22</f>
        <v>1423787.4799999995</v>
      </c>
      <c r="S22" s="217">
        <f t="shared" ref="S22:T22" si="13">D22-J22-P22</f>
        <v>1007458</v>
      </c>
      <c r="T22" s="217">
        <f t="shared" si="13"/>
        <v>1007458</v>
      </c>
      <c r="U22" s="180"/>
      <c r="V22" s="181"/>
      <c r="W22" s="182"/>
    </row>
    <row r="23" spans="1:23" x14ac:dyDescent="0.25">
      <c r="B23" s="115" t="s">
        <v>387</v>
      </c>
      <c r="C23" s="116">
        <f>Форма!F138</f>
        <v>6136050.1199999992</v>
      </c>
      <c r="D23" s="116">
        <f>Форма!G138</f>
        <v>5122412.2699999996</v>
      </c>
      <c r="E23" s="116">
        <f>Форма!H138</f>
        <v>5122412.2699999996</v>
      </c>
      <c r="F23" s="116">
        <f>Форма!F182</f>
        <v>0</v>
      </c>
      <c r="G23" s="116">
        <f>Форма!G182</f>
        <v>0</v>
      </c>
      <c r="H23" s="116">
        <f>Форма!H182</f>
        <v>0</v>
      </c>
      <c r="I23" s="116">
        <f>Форма!F185</f>
        <v>808157.84</v>
      </c>
      <c r="J23" s="116">
        <f>Форма!G185</f>
        <v>0</v>
      </c>
      <c r="K23" s="116">
        <f>Форма!H185</f>
        <v>0</v>
      </c>
      <c r="L23" s="116">
        <f>[1]Форма!F179</f>
        <v>0</v>
      </c>
      <c r="M23" s="116">
        <f>[1]Форма!G179</f>
        <v>0</v>
      </c>
      <c r="N23" s="116">
        <f>[1]Форма!H179</f>
        <v>0</v>
      </c>
      <c r="O23" s="116">
        <f>Форма!F183</f>
        <v>3671200</v>
      </c>
      <c r="P23" s="116">
        <f>Форма!G183</f>
        <v>3260048</v>
      </c>
      <c r="Q23" s="116">
        <f>Форма!H183</f>
        <v>3260048</v>
      </c>
      <c r="R23" s="116">
        <f>Форма!F190+Форма!F193+Форма!F196+Форма!F199</f>
        <v>1656692.2799999996</v>
      </c>
      <c r="S23" s="116">
        <f>Форма!G190+Форма!G193+Форма!G196+Форма!G199</f>
        <v>1862364.27</v>
      </c>
      <c r="T23" s="116">
        <f>Форма!H190+Форма!H193+Форма!H196+Форма!H199</f>
        <v>1862364.27</v>
      </c>
      <c r="U23" s="116">
        <f>[1]Форма!F183+[1]Форма!F186+[1]Форма!F190</f>
        <v>0</v>
      </c>
      <c r="V23" s="116">
        <f>[1]Форма!G183+[1]Форма!G186+[1]Форма!G190</f>
        <v>0</v>
      </c>
      <c r="W23" s="116">
        <f>[1]Форма!H183+[1]Форма!H186+[1]Форма!H190</f>
        <v>0</v>
      </c>
    </row>
    <row r="24" spans="1:23" x14ac:dyDescent="0.25">
      <c r="B24" t="s">
        <v>388</v>
      </c>
      <c r="C24" s="221">
        <f>C23-C5</f>
        <v>0</v>
      </c>
      <c r="D24" s="221">
        <f t="shared" ref="D24:E24" si="14">D23-D5</f>
        <v>0</v>
      </c>
      <c r="E24" s="221">
        <f t="shared" si="14"/>
        <v>0</v>
      </c>
      <c r="F24" s="221">
        <f>F23-F5</f>
        <v>0</v>
      </c>
      <c r="G24" s="221">
        <f t="shared" ref="G24:H24" si="15">G23-G5</f>
        <v>0</v>
      </c>
      <c r="H24" s="221">
        <f t="shared" si="15"/>
        <v>0</v>
      </c>
      <c r="I24" s="221">
        <f>I23-I5</f>
        <v>0</v>
      </c>
      <c r="J24" s="221">
        <f t="shared" ref="J24:K24" si="16">J23-J5</f>
        <v>0</v>
      </c>
      <c r="K24" s="221">
        <f t="shared" si="16"/>
        <v>0</v>
      </c>
      <c r="L24" s="221">
        <f>L23-L5</f>
        <v>0</v>
      </c>
      <c r="M24" s="221">
        <f t="shared" ref="M24:N24" si="17">M23-M5</f>
        <v>0</v>
      </c>
      <c r="N24" s="221">
        <f t="shared" si="17"/>
        <v>0</v>
      </c>
      <c r="O24" s="221">
        <f>O23-O5</f>
        <v>0</v>
      </c>
      <c r="P24" s="221">
        <f t="shared" ref="P24:Q24" si="18">P23-P5</f>
        <v>0</v>
      </c>
      <c r="Q24" s="221">
        <f t="shared" si="18"/>
        <v>0</v>
      </c>
      <c r="R24" s="221">
        <f>R23-R5</f>
        <v>0</v>
      </c>
      <c r="S24" s="221">
        <f t="shared" ref="S24:T24" si="19">S23-S5</f>
        <v>0</v>
      </c>
      <c r="T24" s="221">
        <f t="shared" si="19"/>
        <v>0</v>
      </c>
      <c r="U24" s="117">
        <f>U23-U5</f>
        <v>0</v>
      </c>
      <c r="V24" s="117">
        <f t="shared" ref="V24:W24" si="20">V23-V5</f>
        <v>0</v>
      </c>
      <c r="W24" s="117">
        <f t="shared" si="20"/>
        <v>0</v>
      </c>
    </row>
    <row r="25" spans="1:23" x14ac:dyDescent="0.25">
      <c r="C25" s="117"/>
      <c r="D25" s="117"/>
      <c r="E25" s="117"/>
    </row>
  </sheetData>
  <mergeCells count="13">
    <mergeCell ref="L3:N3"/>
    <mergeCell ref="R3:T3"/>
    <mergeCell ref="U3:W3"/>
    <mergeCell ref="B1:B2"/>
    <mergeCell ref="C1:E3"/>
    <mergeCell ref="F1:N1"/>
    <mergeCell ref="O1:W1"/>
    <mergeCell ref="F2:H3"/>
    <mergeCell ref="I2:N2"/>
    <mergeCell ref="O2:Q3"/>
    <mergeCell ref="R2:W2"/>
    <mergeCell ref="B3:B5"/>
    <mergeCell ref="I3:K3"/>
  </mergeCells>
  <pageMargins left="0.31496062992125984" right="0.11811023622047245" top="0.74803149606299213" bottom="0.74803149606299213" header="0.31496062992125984" footer="0.31496062992125984"/>
  <pageSetup paperSize="9" scale="66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showZeros="0" zoomScale="80" zoomScaleNormal="80" workbookViewId="0">
      <selection activeCell="I20" sqref="I20"/>
    </sheetView>
  </sheetViews>
  <sheetFormatPr defaultRowHeight="15" x14ac:dyDescent="0.25"/>
  <cols>
    <col min="1" max="1" width="20.5703125" customWidth="1"/>
    <col min="2" max="6" width="12.7109375" customWidth="1"/>
    <col min="7" max="7" width="11.42578125" customWidth="1"/>
    <col min="8" max="8" width="14.7109375" customWidth="1"/>
    <col min="9" max="9" width="14.28515625" customWidth="1"/>
    <col min="11" max="11" width="9.140625" customWidth="1"/>
    <col min="12" max="12" width="12.140625" customWidth="1"/>
    <col min="13" max="13" width="14.140625" customWidth="1"/>
    <col min="14" max="14" width="12.140625" customWidth="1"/>
    <col min="15" max="15" width="11.140625" customWidth="1"/>
    <col min="16" max="16" width="11.85546875" customWidth="1"/>
    <col min="17" max="17" width="14.42578125" customWidth="1"/>
    <col min="18" max="18" width="10.42578125" customWidth="1"/>
    <col min="19" max="19" width="12" customWidth="1"/>
  </cols>
  <sheetData>
    <row r="1" spans="1:19" x14ac:dyDescent="0.25">
      <c r="A1" t="s">
        <v>599</v>
      </c>
      <c r="B1" s="297">
        <v>402</v>
      </c>
      <c r="C1" s="297">
        <v>4022</v>
      </c>
      <c r="D1" s="297">
        <v>4023</v>
      </c>
      <c r="E1" s="297">
        <v>4024</v>
      </c>
      <c r="F1" s="297">
        <v>401</v>
      </c>
      <c r="H1" s="297">
        <v>2</v>
      </c>
      <c r="L1">
        <v>340</v>
      </c>
      <c r="M1">
        <v>226</v>
      </c>
      <c r="N1">
        <v>226</v>
      </c>
      <c r="O1">
        <v>226</v>
      </c>
      <c r="P1">
        <v>226</v>
      </c>
      <c r="Q1">
        <v>340</v>
      </c>
      <c r="R1">
        <v>340</v>
      </c>
    </row>
    <row r="2" spans="1:19" s="173" customFormat="1" ht="28.5" customHeight="1" x14ac:dyDescent="0.25">
      <c r="A2" s="172"/>
      <c r="B2" s="172" t="s">
        <v>483</v>
      </c>
      <c r="C2" s="172" t="s">
        <v>508</v>
      </c>
      <c r="D2" s="172" t="s">
        <v>507</v>
      </c>
      <c r="E2" s="172" t="s">
        <v>731</v>
      </c>
      <c r="F2" s="172" t="s">
        <v>484</v>
      </c>
      <c r="G2" s="174" t="s">
        <v>481</v>
      </c>
      <c r="H2" s="174" t="s">
        <v>482</v>
      </c>
      <c r="I2" s="177" t="s">
        <v>506</v>
      </c>
      <c r="L2" s="201" t="s">
        <v>601</v>
      </c>
      <c r="M2" s="201" t="s">
        <v>603</v>
      </c>
      <c r="N2" s="201" t="s">
        <v>604</v>
      </c>
      <c r="O2" s="201" t="s">
        <v>602</v>
      </c>
      <c r="P2" s="201" t="s">
        <v>608</v>
      </c>
      <c r="Q2" s="201" t="s">
        <v>605</v>
      </c>
      <c r="R2" s="201" t="s">
        <v>606</v>
      </c>
      <c r="S2" s="201" t="s">
        <v>607</v>
      </c>
    </row>
    <row r="3" spans="1:19" x14ac:dyDescent="0.25">
      <c r="A3" s="170" t="s">
        <v>510</v>
      </c>
      <c r="B3" s="20">
        <f>411462.86+196353.06+62185.85</f>
        <v>670001.7699999999</v>
      </c>
      <c r="C3" s="20"/>
      <c r="D3" s="20"/>
      <c r="E3" s="171"/>
      <c r="F3" s="20"/>
      <c r="G3" s="20"/>
      <c r="H3" s="20">
        <f>6260.18+1933.37+1783.87</f>
        <v>9977.4199999999983</v>
      </c>
      <c r="I3" s="171">
        <f t="shared" ref="I3:I12" si="0">SUM(B3:H3)</f>
        <v>679979.19</v>
      </c>
      <c r="J3" t="s">
        <v>739</v>
      </c>
      <c r="L3" s="226">
        <v>83484</v>
      </c>
      <c r="M3" s="226">
        <f>10020+5154+38522+6989+1263</f>
        <v>61948</v>
      </c>
      <c r="N3" s="226">
        <f>19800+26880+4860</f>
        <v>51540</v>
      </c>
      <c r="O3" s="226">
        <f>198000+322560+48600</f>
        <v>569160</v>
      </c>
      <c r="P3" s="202">
        <v>7200</v>
      </c>
      <c r="Q3" s="39">
        <v>2762868</v>
      </c>
      <c r="R3" s="202">
        <v>135000</v>
      </c>
      <c r="S3" s="226">
        <f>SUM(L3:R3)</f>
        <v>3671200</v>
      </c>
    </row>
    <row r="4" spans="1:19" x14ac:dyDescent="0.25">
      <c r="A4" s="170" t="s">
        <v>500</v>
      </c>
      <c r="B4" s="171">
        <f>B5+B6+B7+B8+B9+B10</f>
        <v>9992.64</v>
      </c>
      <c r="C4" s="171">
        <f t="shared" ref="C4:H4" si="1">C5+C6+C7+C8+C9+C10</f>
        <v>0</v>
      </c>
      <c r="D4" s="171">
        <f t="shared" si="1"/>
        <v>5132.1400000000003</v>
      </c>
      <c r="E4" s="171">
        <f t="shared" si="1"/>
        <v>800</v>
      </c>
      <c r="F4" s="171">
        <f t="shared" si="1"/>
        <v>1830</v>
      </c>
      <c r="G4" s="171">
        <f t="shared" si="1"/>
        <v>0</v>
      </c>
      <c r="H4" s="171">
        <f t="shared" si="1"/>
        <v>110423.87000000001</v>
      </c>
      <c r="I4" s="296">
        <f>SUM(B4:H4)</f>
        <v>128178.65000000001</v>
      </c>
      <c r="L4" s="202"/>
      <c r="M4" s="202"/>
      <c r="N4" s="202"/>
      <c r="O4" s="202"/>
      <c r="P4" s="202"/>
      <c r="Q4" s="202"/>
      <c r="R4" s="202"/>
      <c r="S4" s="202"/>
    </row>
    <row r="5" spans="1:19" x14ac:dyDescent="0.25">
      <c r="A5" s="112" t="s">
        <v>502</v>
      </c>
      <c r="B5" s="109">
        <v>1491.41</v>
      </c>
      <c r="C5" s="109"/>
      <c r="D5" s="109"/>
      <c r="E5" s="109"/>
      <c r="F5" s="109"/>
      <c r="G5" s="109"/>
      <c r="H5" s="109"/>
      <c r="I5" s="171">
        <f t="shared" si="0"/>
        <v>1491.41</v>
      </c>
    </row>
    <row r="6" spans="1:19" x14ac:dyDescent="0.25">
      <c r="A6" s="112" t="s">
        <v>503</v>
      </c>
      <c r="B6" s="109"/>
      <c r="C6" s="109"/>
      <c r="D6" s="109"/>
      <c r="E6" s="109"/>
      <c r="F6" s="109"/>
      <c r="G6" s="109"/>
      <c r="H6" s="109"/>
      <c r="I6" s="171">
        <f t="shared" si="0"/>
        <v>0</v>
      </c>
    </row>
    <row r="7" spans="1:19" x14ac:dyDescent="0.25">
      <c r="A7" s="112" t="s">
        <v>504</v>
      </c>
      <c r="B7" s="109"/>
      <c r="C7" s="109"/>
      <c r="D7" s="109"/>
      <c r="E7" s="109"/>
      <c r="F7" s="109"/>
      <c r="G7" s="109"/>
      <c r="H7" s="109">
        <f>223.85</f>
        <v>223.85</v>
      </c>
      <c r="I7" s="171">
        <f t="shared" si="0"/>
        <v>223.85</v>
      </c>
    </row>
    <row r="8" spans="1:19" x14ac:dyDescent="0.25">
      <c r="A8" s="112" t="s">
        <v>738</v>
      </c>
      <c r="B8" s="109">
        <v>100</v>
      </c>
      <c r="C8" s="109"/>
      <c r="D8" s="109"/>
      <c r="E8" s="109"/>
      <c r="F8" s="109"/>
      <c r="G8" s="109"/>
      <c r="H8" s="109"/>
      <c r="I8" s="296">
        <f t="shared" ref="I8" si="2">SUM(B8:H8)</f>
        <v>100</v>
      </c>
    </row>
    <row r="9" spans="1:19" x14ac:dyDescent="0.25">
      <c r="A9" s="112" t="s">
        <v>505</v>
      </c>
      <c r="B9" s="109">
        <v>6801.23</v>
      </c>
      <c r="C9" s="109"/>
      <c r="D9" s="109">
        <v>1820.05</v>
      </c>
      <c r="E9" s="109">
        <v>800</v>
      </c>
      <c r="F9" s="109"/>
      <c r="G9" s="109"/>
      <c r="H9" s="109"/>
      <c r="I9" s="171">
        <f t="shared" si="0"/>
        <v>9421.2799999999988</v>
      </c>
    </row>
    <row r="10" spans="1:19" x14ac:dyDescent="0.25">
      <c r="A10" s="112" t="s">
        <v>501</v>
      </c>
      <c r="B10" s="109">
        <v>1600</v>
      </c>
      <c r="C10" s="109"/>
      <c r="D10" s="109">
        <v>3312.09</v>
      </c>
      <c r="E10" s="178"/>
      <c r="F10" s="109">
        <v>1830</v>
      </c>
      <c r="G10" s="109"/>
      <c r="H10" s="109">
        <f>43540.03+66659.99</f>
        <v>110200.02</v>
      </c>
      <c r="I10" s="171">
        <f t="shared" si="0"/>
        <v>116942.11</v>
      </c>
    </row>
    <row r="11" spans="1:19" s="21" customFormat="1" ht="14.25" x14ac:dyDescent="0.2">
      <c r="A11" s="170" t="s">
        <v>506</v>
      </c>
      <c r="B11" s="171">
        <f>B3+B4</f>
        <v>679994.40999999992</v>
      </c>
      <c r="C11" s="171">
        <f t="shared" ref="C11:H11" si="3">C3+C4</f>
        <v>0</v>
      </c>
      <c r="D11" s="171">
        <f t="shared" si="3"/>
        <v>5132.1400000000003</v>
      </c>
      <c r="E11" s="171">
        <f t="shared" si="3"/>
        <v>800</v>
      </c>
      <c r="F11" s="171">
        <f t="shared" si="3"/>
        <v>1830</v>
      </c>
      <c r="G11" s="171">
        <f t="shared" si="3"/>
        <v>0</v>
      </c>
      <c r="H11" s="171">
        <f t="shared" si="3"/>
        <v>120401.29000000001</v>
      </c>
      <c r="I11" s="171">
        <f t="shared" si="0"/>
        <v>808157.84</v>
      </c>
      <c r="L11" s="190">
        <f>B11+C11+D11+E11</f>
        <v>685926.54999999993</v>
      </c>
      <c r="M11" s="21" t="s">
        <v>637</v>
      </c>
      <c r="N11" s="190">
        <f>H11</f>
        <v>120401.29000000001</v>
      </c>
      <c r="O11" s="21" t="s">
        <v>637</v>
      </c>
    </row>
    <row r="12" spans="1:19" s="21" customFormat="1" ht="14.25" x14ac:dyDescent="0.2">
      <c r="A12" s="176" t="s">
        <v>509</v>
      </c>
      <c r="B12" s="20">
        <f>L3</f>
        <v>83484</v>
      </c>
      <c r="C12" s="171"/>
      <c r="D12" s="171"/>
      <c r="E12" s="171"/>
      <c r="F12" s="171"/>
      <c r="G12" s="171"/>
      <c r="H12" s="20">
        <f>M3+N3+O3+P3+Q3+R3</f>
        <v>3587716</v>
      </c>
      <c r="I12" s="171">
        <f t="shared" si="0"/>
        <v>3671200</v>
      </c>
      <c r="M12" s="21" t="s">
        <v>725</v>
      </c>
      <c r="O12" s="21" t="s">
        <v>726</v>
      </c>
    </row>
    <row r="13" spans="1:19" s="21" customFormat="1" ht="14.25" x14ac:dyDescent="0.2">
      <c r="A13" s="195"/>
      <c r="B13" s="196"/>
      <c r="C13" s="196"/>
      <c r="D13" s="196"/>
      <c r="E13" s="196"/>
      <c r="F13" s="196"/>
      <c r="G13" s="196"/>
      <c r="H13" s="196"/>
      <c r="I13" s="196"/>
    </row>
    <row r="14" spans="1:19" x14ac:dyDescent="0.25">
      <c r="A14" s="194" t="s">
        <v>735</v>
      </c>
      <c r="B14" t="s">
        <v>724</v>
      </c>
      <c r="C14" s="297">
        <v>4022</v>
      </c>
      <c r="D14" s="297">
        <v>4023</v>
      </c>
      <c r="E14" s="297">
        <v>4024</v>
      </c>
    </row>
    <row r="15" spans="1:19" s="173" customFormat="1" ht="28.5" customHeight="1" x14ac:dyDescent="0.25">
      <c r="A15" s="172"/>
      <c r="B15" s="172" t="s">
        <v>483</v>
      </c>
      <c r="C15" s="172" t="s">
        <v>508</v>
      </c>
      <c r="D15" s="172" t="s">
        <v>507</v>
      </c>
      <c r="E15" s="172" t="s">
        <v>731</v>
      </c>
      <c r="F15" s="172" t="s">
        <v>484</v>
      </c>
      <c r="G15" s="174" t="s">
        <v>481</v>
      </c>
      <c r="H15" s="174" t="s">
        <v>482</v>
      </c>
      <c r="I15" s="177" t="s">
        <v>506</v>
      </c>
    </row>
    <row r="16" spans="1:19" x14ac:dyDescent="0.25">
      <c r="A16" s="170" t="s">
        <v>736</v>
      </c>
      <c r="B16" s="20"/>
      <c r="C16" s="20"/>
      <c r="D16" s="20"/>
      <c r="E16" s="171"/>
      <c r="F16" s="20"/>
      <c r="G16" s="20"/>
      <c r="H16" s="20"/>
      <c r="I16" s="171">
        <f t="shared" ref="I16:I25" si="4">SUM(B16:H16)</f>
        <v>0</v>
      </c>
      <c r="J16" t="s">
        <v>739</v>
      </c>
    </row>
    <row r="17" spans="1:10" x14ac:dyDescent="0.25">
      <c r="A17" s="170" t="s">
        <v>500</v>
      </c>
      <c r="B17" s="171">
        <f>B18+B19+B20+B21+B22+B23</f>
        <v>0</v>
      </c>
      <c r="C17" s="171">
        <f t="shared" ref="C17:H17" si="5">C18+C19+C20+C21+C22+C23</f>
        <v>0</v>
      </c>
      <c r="D17" s="171">
        <f t="shared" si="5"/>
        <v>0</v>
      </c>
      <c r="E17" s="171">
        <f t="shared" si="5"/>
        <v>0</v>
      </c>
      <c r="F17" s="171">
        <f t="shared" si="5"/>
        <v>0</v>
      </c>
      <c r="G17" s="171">
        <f t="shared" si="5"/>
        <v>0</v>
      </c>
      <c r="H17" s="171">
        <f t="shared" si="5"/>
        <v>0</v>
      </c>
      <c r="I17" s="171">
        <f>SUM(B17:H17)</f>
        <v>0</v>
      </c>
    </row>
    <row r="18" spans="1:10" x14ac:dyDescent="0.25">
      <c r="A18" s="112" t="s">
        <v>502</v>
      </c>
      <c r="B18" s="109"/>
      <c r="C18" s="109"/>
      <c r="D18" s="109"/>
      <c r="E18" s="109"/>
      <c r="F18" s="109"/>
      <c r="G18" s="109"/>
      <c r="H18" s="109"/>
      <c r="I18" s="171">
        <f t="shared" si="4"/>
        <v>0</v>
      </c>
    </row>
    <row r="19" spans="1:10" x14ac:dyDescent="0.25">
      <c r="A19" s="112" t="s">
        <v>503</v>
      </c>
      <c r="B19" s="109"/>
      <c r="C19" s="109"/>
      <c r="D19" s="109"/>
      <c r="E19" s="109"/>
      <c r="F19" s="109"/>
      <c r="G19" s="109"/>
      <c r="H19" s="109"/>
      <c r="I19" s="171">
        <f t="shared" si="4"/>
        <v>0</v>
      </c>
    </row>
    <row r="20" spans="1:10" x14ac:dyDescent="0.25">
      <c r="A20" s="112" t="s">
        <v>504</v>
      </c>
      <c r="B20" s="109"/>
      <c r="C20" s="109"/>
      <c r="D20" s="109"/>
      <c r="E20" s="109"/>
      <c r="F20" s="109"/>
      <c r="G20" s="109"/>
      <c r="H20" s="109"/>
      <c r="I20" s="171">
        <f t="shared" si="4"/>
        <v>0</v>
      </c>
    </row>
    <row r="21" spans="1:10" x14ac:dyDescent="0.25">
      <c r="A21" s="112" t="s">
        <v>738</v>
      </c>
      <c r="B21" s="109"/>
      <c r="C21" s="109"/>
      <c r="D21" s="109"/>
      <c r="E21" s="109"/>
      <c r="F21" s="109"/>
      <c r="G21" s="109"/>
      <c r="H21" s="109"/>
      <c r="I21" s="171">
        <f t="shared" ref="I21" si="6">SUM(B21:H21)</f>
        <v>0</v>
      </c>
    </row>
    <row r="22" spans="1:10" x14ac:dyDescent="0.25">
      <c r="A22" s="112" t="s">
        <v>505</v>
      </c>
      <c r="B22" s="109"/>
      <c r="C22" s="109"/>
      <c r="D22" s="109"/>
      <c r="E22" s="109"/>
      <c r="F22" s="109"/>
      <c r="G22" s="109"/>
      <c r="H22" s="109"/>
      <c r="I22" s="171">
        <f t="shared" si="4"/>
        <v>0</v>
      </c>
    </row>
    <row r="23" spans="1:10" x14ac:dyDescent="0.25">
      <c r="A23" s="112" t="s">
        <v>501</v>
      </c>
      <c r="B23" s="109"/>
      <c r="C23" s="109"/>
      <c r="D23" s="109"/>
      <c r="E23" s="109"/>
      <c r="F23" s="109"/>
      <c r="G23" s="109"/>
      <c r="H23" s="109"/>
      <c r="I23" s="171">
        <f t="shared" si="4"/>
        <v>0</v>
      </c>
    </row>
    <row r="24" spans="1:10" s="21" customFormat="1" ht="14.25" x14ac:dyDescent="0.2">
      <c r="A24" s="170" t="s">
        <v>506</v>
      </c>
      <c r="B24" s="171">
        <f>B16+B17</f>
        <v>0</v>
      </c>
      <c r="C24" s="171">
        <f t="shared" ref="C24:H24" si="7">C16+C17</f>
        <v>0</v>
      </c>
      <c r="D24" s="171">
        <f t="shared" si="7"/>
        <v>0</v>
      </c>
      <c r="E24" s="171">
        <f t="shared" si="7"/>
        <v>0</v>
      </c>
      <c r="F24" s="171">
        <f t="shared" si="7"/>
        <v>0</v>
      </c>
      <c r="G24" s="171">
        <f t="shared" si="7"/>
        <v>0</v>
      </c>
      <c r="H24" s="171">
        <f t="shared" si="7"/>
        <v>0</v>
      </c>
      <c r="I24" s="171">
        <f t="shared" si="4"/>
        <v>0</v>
      </c>
    </row>
    <row r="25" spans="1:10" s="21" customFormat="1" ht="14.25" x14ac:dyDescent="0.2">
      <c r="A25" s="176" t="s">
        <v>509</v>
      </c>
      <c r="B25" s="171">
        <v>83484</v>
      </c>
      <c r="C25" s="171"/>
      <c r="D25" s="171"/>
      <c r="E25" s="171"/>
      <c r="F25" s="171"/>
      <c r="G25" s="171"/>
      <c r="H25" s="171">
        <v>3176564</v>
      </c>
      <c r="I25" s="171">
        <f t="shared" si="4"/>
        <v>3260048</v>
      </c>
    </row>
    <row r="27" spans="1:10" x14ac:dyDescent="0.25">
      <c r="A27" s="194" t="s">
        <v>735</v>
      </c>
      <c r="B27" t="s">
        <v>737</v>
      </c>
      <c r="C27" s="297">
        <v>4022</v>
      </c>
      <c r="D27" s="297">
        <v>4023</v>
      </c>
      <c r="E27" s="297">
        <v>4024</v>
      </c>
    </row>
    <row r="28" spans="1:10" s="173" customFormat="1" ht="28.5" customHeight="1" x14ac:dyDescent="0.25">
      <c r="A28" s="172"/>
      <c r="B28" s="172" t="s">
        <v>483</v>
      </c>
      <c r="C28" s="172" t="s">
        <v>508</v>
      </c>
      <c r="D28" s="172" t="s">
        <v>507</v>
      </c>
      <c r="E28" s="172" t="s">
        <v>731</v>
      </c>
      <c r="F28" s="172" t="s">
        <v>484</v>
      </c>
      <c r="G28" s="174" t="s">
        <v>481</v>
      </c>
      <c r="H28" s="174" t="s">
        <v>482</v>
      </c>
      <c r="I28" s="177" t="s">
        <v>506</v>
      </c>
    </row>
    <row r="29" spans="1:10" x14ac:dyDescent="0.25">
      <c r="A29" s="170" t="s">
        <v>736</v>
      </c>
      <c r="B29" s="20"/>
      <c r="C29" s="20"/>
      <c r="D29" s="20"/>
      <c r="E29" s="171"/>
      <c r="F29" s="20"/>
      <c r="G29" s="20"/>
      <c r="H29" s="20"/>
      <c r="I29" s="171">
        <f t="shared" ref="I29:I38" si="8">SUM(B29:H29)</f>
        <v>0</v>
      </c>
      <c r="J29" t="s">
        <v>739</v>
      </c>
    </row>
    <row r="30" spans="1:10" x14ac:dyDescent="0.25">
      <c r="A30" s="170" t="s">
        <v>500</v>
      </c>
      <c r="B30" s="171">
        <f>B31+B32+B33+B34+B35+B36</f>
        <v>100</v>
      </c>
      <c r="C30" s="171">
        <f t="shared" ref="C30:H30" si="9">C31+C32+C33+C34+C35+C36</f>
        <v>0</v>
      </c>
      <c r="D30" s="171">
        <f t="shared" si="9"/>
        <v>336</v>
      </c>
      <c r="E30" s="171">
        <f t="shared" si="9"/>
        <v>2400</v>
      </c>
      <c r="F30" s="171">
        <f t="shared" si="9"/>
        <v>1830</v>
      </c>
      <c r="G30" s="171">
        <f t="shared" si="9"/>
        <v>0</v>
      </c>
      <c r="H30" s="171">
        <f t="shared" si="9"/>
        <v>0</v>
      </c>
      <c r="I30" s="171">
        <f>SUM(B30:H30)</f>
        <v>4666</v>
      </c>
    </row>
    <row r="31" spans="1:10" x14ac:dyDescent="0.25">
      <c r="A31" s="112" t="s">
        <v>502</v>
      </c>
      <c r="B31" s="16"/>
      <c r="C31" s="16"/>
      <c r="D31" s="16"/>
      <c r="E31" s="109"/>
      <c r="F31" s="16"/>
      <c r="G31" s="16"/>
      <c r="H31" s="16"/>
      <c r="I31" s="171">
        <f t="shared" si="8"/>
        <v>0</v>
      </c>
    </row>
    <row r="32" spans="1:10" x14ac:dyDescent="0.25">
      <c r="A32" s="112" t="s">
        <v>503</v>
      </c>
      <c r="B32" s="16"/>
      <c r="C32" s="16"/>
      <c r="D32" s="16"/>
      <c r="E32" s="109"/>
      <c r="F32" s="16"/>
      <c r="G32" s="16"/>
      <c r="H32" s="16"/>
      <c r="I32" s="171">
        <f t="shared" si="8"/>
        <v>0</v>
      </c>
    </row>
    <row r="33" spans="1:13" x14ac:dyDescent="0.25">
      <c r="A33" s="112" t="s">
        <v>504</v>
      </c>
      <c r="B33" s="16"/>
      <c r="C33" s="16"/>
      <c r="D33" s="16"/>
      <c r="E33" s="109"/>
      <c r="F33" s="16"/>
      <c r="G33" s="16"/>
      <c r="H33" s="16"/>
      <c r="I33" s="171">
        <f t="shared" si="8"/>
        <v>0</v>
      </c>
    </row>
    <row r="34" spans="1:13" x14ac:dyDescent="0.25">
      <c r="A34" s="112" t="s">
        <v>738</v>
      </c>
      <c r="B34" s="16">
        <v>100</v>
      </c>
      <c r="C34" s="109"/>
      <c r="D34" s="109"/>
      <c r="E34" s="109"/>
      <c r="F34" s="109"/>
      <c r="G34" s="109"/>
      <c r="H34" s="109"/>
      <c r="I34" s="171">
        <f t="shared" ref="I34" si="10">SUM(B34:H34)</f>
        <v>100</v>
      </c>
    </row>
    <row r="35" spans="1:13" x14ac:dyDescent="0.25">
      <c r="A35" s="112" t="s">
        <v>505</v>
      </c>
      <c r="B35" s="16"/>
      <c r="C35" s="16"/>
      <c r="D35" s="16">
        <v>336</v>
      </c>
      <c r="E35" s="109">
        <v>800</v>
      </c>
      <c r="F35" s="16"/>
      <c r="G35" s="16"/>
      <c r="H35" s="16"/>
      <c r="I35" s="171">
        <f t="shared" si="8"/>
        <v>1136</v>
      </c>
    </row>
    <row r="36" spans="1:13" x14ac:dyDescent="0.25">
      <c r="A36" s="112" t="s">
        <v>501</v>
      </c>
      <c r="B36" s="109"/>
      <c r="C36" s="109"/>
      <c r="D36" s="109"/>
      <c r="E36" s="109">
        <v>1600</v>
      </c>
      <c r="F36" s="109">
        <v>1830</v>
      </c>
      <c r="G36" s="109"/>
      <c r="H36" s="109"/>
      <c r="I36" s="171">
        <f t="shared" si="8"/>
        <v>3430</v>
      </c>
    </row>
    <row r="37" spans="1:13" s="21" customFormat="1" ht="14.25" x14ac:dyDescent="0.2">
      <c r="A37" s="170" t="s">
        <v>506</v>
      </c>
      <c r="B37" s="171">
        <f>B29+B30</f>
        <v>100</v>
      </c>
      <c r="C37" s="171">
        <f t="shared" ref="C37:H37" si="11">C29+C30</f>
        <v>0</v>
      </c>
      <c r="D37" s="171">
        <f t="shared" si="11"/>
        <v>336</v>
      </c>
      <c r="E37" s="171">
        <f t="shared" si="11"/>
        <v>2400</v>
      </c>
      <c r="F37" s="171">
        <f t="shared" si="11"/>
        <v>1830</v>
      </c>
      <c r="G37" s="171">
        <f t="shared" si="11"/>
        <v>0</v>
      </c>
      <c r="H37" s="171">
        <f t="shared" si="11"/>
        <v>0</v>
      </c>
      <c r="I37" s="171">
        <f t="shared" si="8"/>
        <v>4666</v>
      </c>
      <c r="K37" s="190">
        <f>I37-(I24-I16)</f>
        <v>4666</v>
      </c>
      <c r="L37" s="190">
        <f>I33-K37</f>
        <v>-4666</v>
      </c>
      <c r="M37" s="190">
        <f>K37+L37</f>
        <v>0</v>
      </c>
    </row>
    <row r="38" spans="1:13" s="21" customFormat="1" ht="14.25" x14ac:dyDescent="0.2">
      <c r="A38" s="176" t="s">
        <v>509</v>
      </c>
      <c r="B38" s="171">
        <v>83484</v>
      </c>
      <c r="C38" s="171"/>
      <c r="D38" s="171"/>
      <c r="E38" s="171"/>
      <c r="F38" s="171"/>
      <c r="G38" s="171"/>
      <c r="H38" s="171">
        <v>3176564</v>
      </c>
      <c r="I38" s="171">
        <f t="shared" si="8"/>
        <v>3260048</v>
      </c>
    </row>
  </sheetData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topLeftCell="A5" zoomScaleNormal="100" zoomScaleSheetLayoutView="100" workbookViewId="0">
      <selection activeCell="I20" sqref="I20"/>
    </sheetView>
  </sheetViews>
  <sheetFormatPr defaultRowHeight="15" x14ac:dyDescent="0.25"/>
  <cols>
    <col min="1" max="1" width="12.140625" style="266" customWidth="1"/>
    <col min="2" max="2" width="11.42578125" style="266" customWidth="1"/>
    <col min="3" max="3" width="15.28515625" style="266" customWidth="1"/>
    <col min="4" max="4" width="14.42578125" style="266" customWidth="1"/>
    <col min="5" max="5" width="6.140625" style="266" customWidth="1"/>
    <col min="6" max="7" width="12.140625" style="266" customWidth="1"/>
    <col min="8" max="8" width="18.5703125" style="266" customWidth="1"/>
    <col min="9" max="9" width="9.140625" customWidth="1"/>
    <col min="10" max="10" width="12.42578125" customWidth="1"/>
    <col min="11" max="256" width="9.140625" customWidth="1"/>
    <col min="257" max="263" width="12.140625" customWidth="1"/>
    <col min="264" max="264" width="8.140625" customWidth="1"/>
    <col min="265" max="512" width="9.140625" customWidth="1"/>
    <col min="513" max="519" width="12.140625" customWidth="1"/>
    <col min="520" max="520" width="8.140625" customWidth="1"/>
    <col min="521" max="768" width="9.140625" customWidth="1"/>
    <col min="769" max="775" width="12.140625" customWidth="1"/>
    <col min="776" max="776" width="8.140625" customWidth="1"/>
    <col min="777" max="1024" width="9.140625" customWidth="1"/>
    <col min="1025" max="1031" width="12.140625" customWidth="1"/>
    <col min="1032" max="1032" width="8.140625" customWidth="1"/>
    <col min="1033" max="1280" width="9.140625" customWidth="1"/>
    <col min="1281" max="1287" width="12.140625" customWidth="1"/>
    <col min="1288" max="1288" width="8.140625" customWidth="1"/>
    <col min="1289" max="1536" width="9.140625" customWidth="1"/>
    <col min="1537" max="1543" width="12.140625" customWidth="1"/>
    <col min="1544" max="1544" width="8.140625" customWidth="1"/>
    <col min="1545" max="1792" width="9.140625" customWidth="1"/>
    <col min="1793" max="1799" width="12.140625" customWidth="1"/>
    <col min="1800" max="1800" width="8.140625" customWidth="1"/>
    <col min="1801" max="2048" width="9.140625" customWidth="1"/>
    <col min="2049" max="2055" width="12.140625" customWidth="1"/>
    <col min="2056" max="2056" width="8.140625" customWidth="1"/>
    <col min="2057" max="2304" width="9.140625" customWidth="1"/>
    <col min="2305" max="2311" width="12.140625" customWidth="1"/>
    <col min="2312" max="2312" width="8.140625" customWidth="1"/>
    <col min="2313" max="2560" width="9.140625" customWidth="1"/>
    <col min="2561" max="2567" width="12.140625" customWidth="1"/>
    <col min="2568" max="2568" width="8.140625" customWidth="1"/>
    <col min="2569" max="2816" width="9.140625" customWidth="1"/>
    <col min="2817" max="2823" width="12.140625" customWidth="1"/>
    <col min="2824" max="2824" width="8.140625" customWidth="1"/>
    <col min="2825" max="3072" width="9.140625" customWidth="1"/>
    <col min="3073" max="3079" width="12.140625" customWidth="1"/>
    <col min="3080" max="3080" width="8.140625" customWidth="1"/>
    <col min="3081" max="3328" width="9.140625" customWidth="1"/>
    <col min="3329" max="3335" width="12.140625" customWidth="1"/>
    <col min="3336" max="3336" width="8.140625" customWidth="1"/>
    <col min="3337" max="3584" width="9.140625" customWidth="1"/>
    <col min="3585" max="3591" width="12.140625" customWidth="1"/>
    <col min="3592" max="3592" width="8.140625" customWidth="1"/>
    <col min="3593" max="3840" width="9.140625" customWidth="1"/>
    <col min="3841" max="3847" width="12.140625" customWidth="1"/>
    <col min="3848" max="3848" width="8.140625" customWidth="1"/>
    <col min="3849" max="4096" width="9.140625" customWidth="1"/>
    <col min="4097" max="4103" width="12.140625" customWidth="1"/>
    <col min="4104" max="4104" width="8.140625" customWidth="1"/>
    <col min="4105" max="4352" width="9.140625" customWidth="1"/>
    <col min="4353" max="4359" width="12.140625" customWidth="1"/>
    <col min="4360" max="4360" width="8.140625" customWidth="1"/>
    <col min="4361" max="4608" width="9.140625" customWidth="1"/>
    <col min="4609" max="4615" width="12.140625" customWidth="1"/>
    <col min="4616" max="4616" width="8.140625" customWidth="1"/>
    <col min="4617" max="4864" width="9.140625" customWidth="1"/>
    <col min="4865" max="4871" width="12.140625" customWidth="1"/>
    <col min="4872" max="4872" width="8.140625" customWidth="1"/>
    <col min="4873" max="5120" width="9.140625" customWidth="1"/>
    <col min="5121" max="5127" width="12.140625" customWidth="1"/>
    <col min="5128" max="5128" width="8.140625" customWidth="1"/>
    <col min="5129" max="5376" width="9.140625" customWidth="1"/>
    <col min="5377" max="5383" width="12.140625" customWidth="1"/>
    <col min="5384" max="5384" width="8.140625" customWidth="1"/>
    <col min="5385" max="5632" width="9.140625" customWidth="1"/>
    <col min="5633" max="5639" width="12.140625" customWidth="1"/>
    <col min="5640" max="5640" width="8.140625" customWidth="1"/>
    <col min="5641" max="5888" width="9.140625" customWidth="1"/>
    <col min="5889" max="5895" width="12.140625" customWidth="1"/>
    <col min="5896" max="5896" width="8.140625" customWidth="1"/>
    <col min="5897" max="6144" width="9.140625" customWidth="1"/>
    <col min="6145" max="6151" width="12.140625" customWidth="1"/>
    <col min="6152" max="6152" width="8.140625" customWidth="1"/>
    <col min="6153" max="6400" width="9.140625" customWidth="1"/>
    <col min="6401" max="6407" width="12.140625" customWidth="1"/>
    <col min="6408" max="6408" width="8.140625" customWidth="1"/>
    <col min="6409" max="6656" width="9.140625" customWidth="1"/>
    <col min="6657" max="6663" width="12.140625" customWidth="1"/>
    <col min="6664" max="6664" width="8.140625" customWidth="1"/>
    <col min="6665" max="6912" width="9.140625" customWidth="1"/>
    <col min="6913" max="6919" width="12.140625" customWidth="1"/>
    <col min="6920" max="6920" width="8.140625" customWidth="1"/>
    <col min="6921" max="7168" width="9.140625" customWidth="1"/>
    <col min="7169" max="7175" width="12.140625" customWidth="1"/>
    <col min="7176" max="7176" width="8.140625" customWidth="1"/>
    <col min="7177" max="7424" width="9.140625" customWidth="1"/>
    <col min="7425" max="7431" width="12.140625" customWidth="1"/>
    <col min="7432" max="7432" width="8.140625" customWidth="1"/>
    <col min="7433" max="7680" width="9.140625" customWidth="1"/>
    <col min="7681" max="7687" width="12.140625" customWidth="1"/>
    <col min="7688" max="7688" width="8.140625" customWidth="1"/>
    <col min="7689" max="7936" width="9.140625" customWidth="1"/>
    <col min="7937" max="7943" width="12.140625" customWidth="1"/>
    <col min="7944" max="7944" width="8.140625" customWidth="1"/>
    <col min="7945" max="8192" width="9.140625" customWidth="1"/>
    <col min="8193" max="8199" width="12.140625" customWidth="1"/>
    <col min="8200" max="8200" width="8.140625" customWidth="1"/>
    <col min="8201" max="8448" width="9.140625" customWidth="1"/>
    <col min="8449" max="8455" width="12.140625" customWidth="1"/>
    <col min="8456" max="8456" width="8.140625" customWidth="1"/>
    <col min="8457" max="8704" width="9.140625" customWidth="1"/>
    <col min="8705" max="8711" width="12.140625" customWidth="1"/>
    <col min="8712" max="8712" width="8.140625" customWidth="1"/>
    <col min="8713" max="8960" width="9.140625" customWidth="1"/>
    <col min="8961" max="8967" width="12.140625" customWidth="1"/>
    <col min="8968" max="8968" width="8.140625" customWidth="1"/>
    <col min="8969" max="9216" width="9.140625" customWidth="1"/>
    <col min="9217" max="9223" width="12.140625" customWidth="1"/>
    <col min="9224" max="9224" width="8.140625" customWidth="1"/>
    <col min="9225" max="9472" width="9.140625" customWidth="1"/>
    <col min="9473" max="9479" width="12.140625" customWidth="1"/>
    <col min="9480" max="9480" width="8.140625" customWidth="1"/>
    <col min="9481" max="9728" width="9.140625" customWidth="1"/>
    <col min="9729" max="9735" width="12.140625" customWidth="1"/>
    <col min="9736" max="9736" width="8.140625" customWidth="1"/>
    <col min="9737" max="9984" width="9.140625" customWidth="1"/>
    <col min="9985" max="9991" width="12.140625" customWidth="1"/>
    <col min="9992" max="9992" width="8.140625" customWidth="1"/>
    <col min="9993" max="10240" width="9.140625" customWidth="1"/>
    <col min="10241" max="10247" width="12.140625" customWidth="1"/>
    <col min="10248" max="10248" width="8.140625" customWidth="1"/>
    <col min="10249" max="10496" width="9.140625" customWidth="1"/>
    <col min="10497" max="10503" width="12.140625" customWidth="1"/>
    <col min="10504" max="10504" width="8.140625" customWidth="1"/>
    <col min="10505" max="10752" width="9.140625" customWidth="1"/>
    <col min="10753" max="10759" width="12.140625" customWidth="1"/>
    <col min="10760" max="10760" width="8.140625" customWidth="1"/>
    <col min="10761" max="11008" width="9.140625" customWidth="1"/>
    <col min="11009" max="11015" width="12.140625" customWidth="1"/>
    <col min="11016" max="11016" width="8.140625" customWidth="1"/>
    <col min="11017" max="11264" width="9.140625" customWidth="1"/>
    <col min="11265" max="11271" width="12.140625" customWidth="1"/>
    <col min="11272" max="11272" width="8.140625" customWidth="1"/>
    <col min="11273" max="11520" width="9.140625" customWidth="1"/>
    <col min="11521" max="11527" width="12.140625" customWidth="1"/>
    <col min="11528" max="11528" width="8.140625" customWidth="1"/>
    <col min="11529" max="11776" width="9.140625" customWidth="1"/>
    <col min="11777" max="11783" width="12.140625" customWidth="1"/>
    <col min="11784" max="11784" width="8.140625" customWidth="1"/>
    <col min="11785" max="12032" width="9.140625" customWidth="1"/>
    <col min="12033" max="12039" width="12.140625" customWidth="1"/>
    <col min="12040" max="12040" width="8.140625" customWidth="1"/>
    <col min="12041" max="12288" width="9.140625" customWidth="1"/>
    <col min="12289" max="12295" width="12.140625" customWidth="1"/>
    <col min="12296" max="12296" width="8.140625" customWidth="1"/>
    <col min="12297" max="12544" width="9.140625" customWidth="1"/>
    <col min="12545" max="12551" width="12.140625" customWidth="1"/>
    <col min="12552" max="12552" width="8.140625" customWidth="1"/>
    <col min="12553" max="12800" width="9.140625" customWidth="1"/>
    <col min="12801" max="12807" width="12.140625" customWidth="1"/>
    <col min="12808" max="12808" width="8.140625" customWidth="1"/>
    <col min="12809" max="13056" width="9.140625" customWidth="1"/>
    <col min="13057" max="13063" width="12.140625" customWidth="1"/>
    <col min="13064" max="13064" width="8.140625" customWidth="1"/>
    <col min="13065" max="13312" width="9.140625" customWidth="1"/>
    <col min="13313" max="13319" width="12.140625" customWidth="1"/>
    <col min="13320" max="13320" width="8.140625" customWidth="1"/>
    <col min="13321" max="13568" width="9.140625" customWidth="1"/>
    <col min="13569" max="13575" width="12.140625" customWidth="1"/>
    <col min="13576" max="13576" width="8.140625" customWidth="1"/>
    <col min="13577" max="13824" width="9.140625" customWidth="1"/>
    <col min="13825" max="13831" width="12.140625" customWidth="1"/>
    <col min="13832" max="13832" width="8.140625" customWidth="1"/>
    <col min="13833" max="14080" width="9.140625" customWidth="1"/>
    <col min="14081" max="14087" width="12.140625" customWidth="1"/>
    <col min="14088" max="14088" width="8.140625" customWidth="1"/>
    <col min="14089" max="14336" width="9.140625" customWidth="1"/>
    <col min="14337" max="14343" width="12.140625" customWidth="1"/>
    <col min="14344" max="14344" width="8.140625" customWidth="1"/>
    <col min="14345" max="14592" width="9.140625" customWidth="1"/>
    <col min="14593" max="14599" width="12.140625" customWidth="1"/>
    <col min="14600" max="14600" width="8.140625" customWidth="1"/>
    <col min="14601" max="14848" width="9.140625" customWidth="1"/>
    <col min="14849" max="14855" width="12.140625" customWidth="1"/>
    <col min="14856" max="14856" width="8.140625" customWidth="1"/>
    <col min="14857" max="15104" width="9.140625" customWidth="1"/>
    <col min="15105" max="15111" width="12.140625" customWidth="1"/>
    <col min="15112" max="15112" width="8.140625" customWidth="1"/>
    <col min="15113" max="15360" width="9.140625" customWidth="1"/>
    <col min="15361" max="15367" width="12.140625" customWidth="1"/>
    <col min="15368" max="15368" width="8.140625" customWidth="1"/>
    <col min="15369" max="15616" width="9.140625" customWidth="1"/>
    <col min="15617" max="15623" width="12.140625" customWidth="1"/>
    <col min="15624" max="15624" width="8.140625" customWidth="1"/>
    <col min="15625" max="15872" width="9.140625" customWidth="1"/>
    <col min="15873" max="15879" width="12.140625" customWidth="1"/>
    <col min="15880" max="15880" width="8.140625" customWidth="1"/>
    <col min="15881" max="16128" width="9.140625" customWidth="1"/>
    <col min="16129" max="16135" width="12.140625" customWidth="1"/>
    <col min="16136" max="16136" width="8.140625" customWidth="1"/>
    <col min="16137" max="16384" width="9.140625" customWidth="1"/>
  </cols>
  <sheetData>
    <row r="1" spans="1:12" x14ac:dyDescent="0.25">
      <c r="A1"/>
      <c r="B1"/>
      <c r="C1"/>
      <c r="D1"/>
      <c r="E1"/>
      <c r="F1"/>
      <c r="G1"/>
      <c r="H1"/>
      <c r="I1" s="267"/>
    </row>
    <row r="2" spans="1:12" ht="16.5" x14ac:dyDescent="0.25">
      <c r="A2" s="628" t="s">
        <v>642</v>
      </c>
      <c r="B2" s="628"/>
      <c r="C2" s="628"/>
      <c r="D2" s="628"/>
      <c r="E2" s="628"/>
      <c r="F2" s="628"/>
      <c r="G2" s="628"/>
      <c r="H2" s="628"/>
    </row>
    <row r="3" spans="1:12" s="266" customFormat="1" ht="34.5" customHeight="1" x14ac:dyDescent="0.25">
      <c r="A3" s="629" t="s">
        <v>689</v>
      </c>
      <c r="B3" s="629"/>
      <c r="C3" s="629"/>
      <c r="D3" s="629"/>
      <c r="E3" s="629"/>
      <c r="F3" s="629"/>
      <c r="G3" s="629"/>
      <c r="H3" s="629"/>
    </row>
    <row r="4" spans="1:12" ht="16.5" x14ac:dyDescent="0.25">
      <c r="A4"/>
      <c r="B4"/>
      <c r="C4" s="248" t="s">
        <v>6</v>
      </c>
      <c r="D4" s="249" t="s">
        <v>774</v>
      </c>
      <c r="E4" s="249" t="s">
        <v>693</v>
      </c>
      <c r="F4"/>
      <c r="G4"/>
      <c r="H4"/>
    </row>
    <row r="5" spans="1:12" ht="15.75" customHeight="1" x14ac:dyDescent="0.25">
      <c r="A5" s="250" t="s">
        <v>645</v>
      </c>
      <c r="B5"/>
      <c r="C5"/>
      <c r="D5"/>
      <c r="E5" s="251"/>
      <c r="F5" s="251" t="s">
        <v>646</v>
      </c>
      <c r="G5" s="252" t="str">
        <f>'Титульный лист'!D32</f>
        <v>«  28  » мая 2021 г.</v>
      </c>
      <c r="H5" s="251"/>
    </row>
    <row r="6" spans="1:12" x14ac:dyDescent="0.25">
      <c r="A6"/>
      <c r="B6"/>
      <c r="C6"/>
      <c r="D6"/>
      <c r="E6"/>
      <c r="F6"/>
      <c r="G6"/>
      <c r="H6"/>
    </row>
    <row r="7" spans="1:12" s="266" customFormat="1" ht="128.25" customHeight="1" x14ac:dyDescent="0.25">
      <c r="A7" s="630" t="s">
        <v>791</v>
      </c>
      <c r="B7" s="630"/>
      <c r="C7" s="630"/>
      <c r="D7" s="630"/>
      <c r="E7" s="630"/>
      <c r="F7" s="630"/>
      <c r="G7" s="630"/>
      <c r="H7" s="630"/>
    </row>
    <row r="8" spans="1:12" s="266" customFormat="1" ht="15.75" customHeight="1" x14ac:dyDescent="0.25">
      <c r="A8" s="313" t="s">
        <v>647</v>
      </c>
      <c r="B8" s="312"/>
      <c r="C8" s="312"/>
      <c r="D8" s="268" t="str">
        <f>D4</f>
        <v>11.01.2021г.</v>
      </c>
      <c r="E8" s="312" t="str">
        <f>E4</f>
        <v>№67</v>
      </c>
      <c r="F8" s="313" t="s">
        <v>648</v>
      </c>
      <c r="G8" s="312"/>
      <c r="H8" s="312"/>
    </row>
    <row r="9" spans="1:12" ht="33" customHeight="1" x14ac:dyDescent="0.25">
      <c r="A9" s="630" t="s">
        <v>690</v>
      </c>
      <c r="B9" s="630"/>
      <c r="C9" s="630"/>
      <c r="D9" s="630"/>
      <c r="E9" s="630"/>
      <c r="F9" s="630"/>
      <c r="G9" s="630"/>
      <c r="H9" s="630"/>
      <c r="J9" s="117"/>
    </row>
    <row r="10" spans="1:12" ht="15.75" customHeight="1" x14ac:dyDescent="0.25">
      <c r="A10" s="313" t="s">
        <v>691</v>
      </c>
      <c r="B10" s="312"/>
      <c r="C10" s="312"/>
      <c r="D10" s="312"/>
      <c r="E10" s="312"/>
      <c r="F10" s="312"/>
      <c r="G10" s="312"/>
      <c r="H10" s="312"/>
      <c r="J10" s="117"/>
    </row>
    <row r="11" spans="1:12" ht="15.75" x14ac:dyDescent="0.25">
      <c r="A11" s="255" t="s">
        <v>692</v>
      </c>
      <c r="B11" s="256"/>
      <c r="C11" s="257">
        <f>'Утверждено (МЗ,ОП,ИЦ,КАП)'!I5</f>
        <v>14016450.23</v>
      </c>
      <c r="D11" s="313" t="s">
        <v>804</v>
      </c>
      <c r="E11" s="310"/>
      <c r="F11" s="312"/>
      <c r="G11" s="312"/>
      <c r="H11" s="312"/>
      <c r="I11" s="134"/>
      <c r="J11" s="117"/>
    </row>
    <row r="12" spans="1:12" ht="15.75" x14ac:dyDescent="0.25">
      <c r="A12" s="631" t="s">
        <v>805</v>
      </c>
      <c r="B12" s="631"/>
      <c r="C12" s="631"/>
      <c r="D12" s="631"/>
      <c r="E12" s="631"/>
      <c r="F12" s="631"/>
      <c r="G12" s="631"/>
      <c r="H12" s="631"/>
      <c r="J12" s="117"/>
    </row>
    <row r="13" spans="1:12" ht="15.75" customHeight="1" x14ac:dyDescent="0.25">
      <c r="A13" s="313"/>
      <c r="B13" s="313"/>
      <c r="C13" s="313"/>
      <c r="D13" s="313"/>
      <c r="E13" s="313"/>
      <c r="F13" s="313"/>
      <c r="G13" s="313"/>
      <c r="H13" s="313"/>
    </row>
    <row r="14" spans="1:12" ht="15.75" customHeight="1" x14ac:dyDescent="0.25">
      <c r="A14" s="632" t="s">
        <v>775</v>
      </c>
      <c r="B14" s="632"/>
      <c r="C14" s="632"/>
      <c r="D14" s="632"/>
      <c r="E14" s="632"/>
      <c r="F14" s="632"/>
      <c r="G14" s="632"/>
      <c r="H14" s="632"/>
    </row>
    <row r="15" spans="1:12" ht="36.75" customHeight="1" x14ac:dyDescent="0.25">
      <c r="A15" s="633" t="s">
        <v>776</v>
      </c>
      <c r="B15" s="634"/>
      <c r="C15" s="634"/>
      <c r="D15" s="635"/>
      <c r="E15" s="633" t="s">
        <v>793</v>
      </c>
      <c r="F15" s="634"/>
      <c r="G15" s="634"/>
      <c r="H15" s="635"/>
      <c r="I15" s="313"/>
      <c r="J15" s="313"/>
      <c r="K15" s="313"/>
      <c r="L15" s="313"/>
    </row>
    <row r="16" spans="1:12" s="266" customFormat="1" ht="36" hidden="1" customHeight="1" x14ac:dyDescent="0.25">
      <c r="A16" s="636"/>
      <c r="B16" s="637"/>
      <c r="C16" s="637"/>
      <c r="D16" s="638"/>
      <c r="E16" s="636"/>
      <c r="F16" s="637"/>
      <c r="G16" s="637"/>
      <c r="H16" s="638"/>
      <c r="I16" s="313"/>
      <c r="J16" s="313"/>
      <c r="K16" s="313"/>
      <c r="L16" s="313"/>
    </row>
    <row r="17" spans="1:12" s="266" customFormat="1" ht="32.25" customHeight="1" x14ac:dyDescent="0.25">
      <c r="A17" s="633" t="s">
        <v>777</v>
      </c>
      <c r="B17" s="634"/>
      <c r="C17" s="634"/>
      <c r="D17" s="634"/>
      <c r="E17" s="633" t="s">
        <v>792</v>
      </c>
      <c r="F17" s="634"/>
      <c r="G17" s="634"/>
      <c r="H17" s="635"/>
      <c r="I17" s="313"/>
      <c r="J17" s="313"/>
      <c r="K17" s="313"/>
      <c r="L17" s="313"/>
    </row>
    <row r="18" spans="1:12" ht="6" customHeight="1" x14ac:dyDescent="0.25">
      <c r="A18" s="636"/>
      <c r="B18" s="637"/>
      <c r="C18" s="637"/>
      <c r="D18" s="637"/>
      <c r="E18" s="636"/>
      <c r="F18" s="637"/>
      <c r="G18" s="637"/>
      <c r="H18" s="638"/>
      <c r="I18" s="252"/>
      <c r="J18" s="252"/>
      <c r="K18" s="252"/>
      <c r="L18" s="252"/>
    </row>
    <row r="19" spans="1:12" ht="15.75" x14ac:dyDescent="0.25">
      <c r="A19" s="314" t="s">
        <v>778</v>
      </c>
      <c r="B19" s="315"/>
      <c r="C19" s="315"/>
      <c r="D19" s="315"/>
      <c r="E19" s="625" t="s">
        <v>794</v>
      </c>
      <c r="F19" s="626"/>
      <c r="G19" s="626"/>
      <c r="H19" s="627"/>
      <c r="I19" s="311"/>
      <c r="J19" s="311"/>
      <c r="K19" s="311"/>
      <c r="L19" s="311"/>
    </row>
    <row r="20" spans="1:12" ht="15.75" customHeight="1" x14ac:dyDescent="0.25">
      <c r="A20" s="639" t="s">
        <v>779</v>
      </c>
      <c r="B20" s="640"/>
      <c r="C20" s="640"/>
      <c r="D20" s="316"/>
      <c r="E20" s="317" t="s">
        <v>795</v>
      </c>
      <c r="F20" s="316"/>
      <c r="G20" s="316"/>
      <c r="H20" s="318"/>
      <c r="I20" s="252"/>
      <c r="J20" s="252"/>
      <c r="K20" s="252"/>
      <c r="L20" s="252"/>
    </row>
    <row r="21" spans="1:12" ht="15.75" customHeight="1" x14ac:dyDescent="0.25">
      <c r="A21" s="319" t="s">
        <v>780</v>
      </c>
      <c r="B21" s="320"/>
      <c r="C21" s="320"/>
      <c r="D21" s="320"/>
      <c r="E21" s="319" t="s">
        <v>781</v>
      </c>
      <c r="F21" s="320"/>
      <c r="G21" s="320"/>
      <c r="H21" s="321"/>
      <c r="I21" s="311"/>
      <c r="J21" s="311"/>
      <c r="K21" s="311"/>
      <c r="L21" s="311"/>
    </row>
    <row r="22" spans="1:12" ht="15.75" customHeight="1" x14ac:dyDescent="0.25">
      <c r="A22" s="639" t="s">
        <v>782</v>
      </c>
      <c r="B22" s="640"/>
      <c r="C22" s="640"/>
      <c r="D22" s="318"/>
      <c r="E22" s="641" t="s">
        <v>782</v>
      </c>
      <c r="F22" s="634"/>
      <c r="G22" s="634"/>
      <c r="H22" s="318"/>
      <c r="I22" s="252"/>
      <c r="J22" s="252"/>
      <c r="K22" s="252"/>
      <c r="L22" s="252"/>
    </row>
    <row r="23" spans="1:12" ht="15.75" customHeight="1" x14ac:dyDescent="0.25">
      <c r="A23" s="322" t="s">
        <v>783</v>
      </c>
      <c r="B23" s="323"/>
      <c r="C23" s="323"/>
      <c r="D23" s="324"/>
      <c r="E23" s="323" t="s">
        <v>784</v>
      </c>
      <c r="F23" s="323"/>
      <c r="G23" s="323"/>
      <c r="H23" s="324"/>
      <c r="I23" s="311"/>
      <c r="J23" s="311"/>
      <c r="K23" s="311"/>
      <c r="L23" s="311"/>
    </row>
    <row r="24" spans="1:12" x14ac:dyDescent="0.25">
      <c r="A24" s="642" t="s">
        <v>785</v>
      </c>
      <c r="B24" s="643"/>
      <c r="C24" s="643"/>
      <c r="D24" s="644"/>
      <c r="E24" s="646" t="s">
        <v>796</v>
      </c>
      <c r="F24" s="643"/>
      <c r="G24" s="643"/>
      <c r="H24" s="644"/>
    </row>
    <row r="25" spans="1:12" ht="31.5" customHeight="1" x14ac:dyDescent="0.25">
      <c r="A25" s="645"/>
      <c r="B25" s="643"/>
      <c r="C25" s="643"/>
      <c r="D25" s="644"/>
      <c r="E25" s="643"/>
      <c r="F25" s="643"/>
      <c r="G25" s="643"/>
      <c r="H25" s="644"/>
    </row>
    <row r="26" spans="1:12" x14ac:dyDescent="0.25">
      <c r="A26" s="645"/>
      <c r="B26" s="643"/>
      <c r="C26" s="643"/>
      <c r="D26" s="644"/>
      <c r="E26" s="643"/>
      <c r="F26" s="643"/>
      <c r="G26" s="643"/>
      <c r="H26" s="644"/>
    </row>
    <row r="27" spans="1:12" ht="15.75" x14ac:dyDescent="0.25">
      <c r="A27" s="642" t="s">
        <v>786</v>
      </c>
      <c r="B27" s="643"/>
      <c r="C27" s="323"/>
      <c r="D27" s="324"/>
      <c r="E27" s="325" t="s">
        <v>786</v>
      </c>
      <c r="F27" s="323"/>
      <c r="G27" s="323"/>
      <c r="H27" s="324"/>
    </row>
    <row r="28" spans="1:12" ht="15.75" x14ac:dyDescent="0.25">
      <c r="A28" s="319" t="s">
        <v>659</v>
      </c>
      <c r="B28" s="320"/>
      <c r="C28" s="320"/>
      <c r="D28" s="326"/>
      <c r="E28" s="647" t="s">
        <v>797</v>
      </c>
      <c r="F28" s="648"/>
      <c r="G28" s="648"/>
      <c r="H28" s="327"/>
    </row>
    <row r="29" spans="1:12" ht="15.75" x14ac:dyDescent="0.25">
      <c r="A29" s="322"/>
      <c r="B29" s="323"/>
      <c r="C29" s="323"/>
      <c r="D29" s="328"/>
      <c r="E29" s="329"/>
      <c r="F29" s="330"/>
      <c r="G29" s="330"/>
      <c r="H29" s="331"/>
    </row>
    <row r="30" spans="1:12" ht="15.75" x14ac:dyDescent="0.25">
      <c r="A30" s="322"/>
      <c r="B30" s="323"/>
      <c r="C30" s="323"/>
      <c r="D30" s="332" t="s">
        <v>787</v>
      </c>
      <c r="E30" s="323"/>
      <c r="F30" s="323"/>
      <c r="G30" s="323"/>
      <c r="H30" s="324"/>
    </row>
    <row r="31" spans="1:12" x14ac:dyDescent="0.25">
      <c r="A31" s="633" t="s">
        <v>776</v>
      </c>
      <c r="B31" s="634"/>
      <c r="C31" s="634"/>
      <c r="D31" s="634"/>
      <c r="E31" s="633" t="s">
        <v>793</v>
      </c>
      <c r="F31" s="634"/>
      <c r="G31" s="634"/>
      <c r="H31" s="635"/>
    </row>
    <row r="32" spans="1:12" x14ac:dyDescent="0.25">
      <c r="A32" s="645"/>
      <c r="B32" s="643"/>
      <c r="C32" s="643"/>
      <c r="D32" s="643"/>
      <c r="E32" s="645"/>
      <c r="F32" s="643"/>
      <c r="G32" s="643"/>
      <c r="H32" s="644"/>
    </row>
    <row r="33" spans="1:8" ht="15.75" x14ac:dyDescent="0.25">
      <c r="A33" s="333"/>
      <c r="B33" s="334"/>
      <c r="C33" s="334"/>
      <c r="D33" s="334"/>
      <c r="E33" s="333"/>
      <c r="F33" s="334"/>
      <c r="G33" s="334"/>
      <c r="H33" s="326"/>
    </row>
    <row r="34" spans="1:8" ht="15.75" x14ac:dyDescent="0.25">
      <c r="A34" s="335"/>
      <c r="B34" s="336"/>
      <c r="C34" s="336"/>
      <c r="D34" s="336"/>
      <c r="E34" s="337"/>
      <c r="F34" s="316"/>
      <c r="G34" s="316"/>
      <c r="H34" s="318"/>
    </row>
    <row r="35" spans="1:8" ht="15.75" x14ac:dyDescent="0.25">
      <c r="A35" s="322" t="s">
        <v>788</v>
      </c>
      <c r="B35" s="323"/>
      <c r="C35" s="323"/>
      <c r="D35" s="323"/>
      <c r="E35" s="322" t="s">
        <v>798</v>
      </c>
      <c r="F35" s="323"/>
      <c r="G35" s="323"/>
      <c r="H35" s="324"/>
    </row>
    <row r="36" spans="1:8" ht="15.75" x14ac:dyDescent="0.25">
      <c r="A36" s="649" t="s">
        <v>789</v>
      </c>
      <c r="B36" s="650"/>
      <c r="C36" s="651" t="s">
        <v>790</v>
      </c>
      <c r="D36" s="652"/>
      <c r="E36" s="649" t="s">
        <v>789</v>
      </c>
      <c r="F36" s="650"/>
      <c r="G36" s="651" t="s">
        <v>790</v>
      </c>
      <c r="H36" s="652"/>
    </row>
  </sheetData>
  <mergeCells count="24">
    <mergeCell ref="A27:B27"/>
    <mergeCell ref="E28:G28"/>
    <mergeCell ref="A31:D32"/>
    <mergeCell ref="E31:H32"/>
    <mergeCell ref="A36:B36"/>
    <mergeCell ref="C36:D36"/>
    <mergeCell ref="E36:F36"/>
    <mergeCell ref="G36:H36"/>
    <mergeCell ref="A20:C20"/>
    <mergeCell ref="A22:C22"/>
    <mergeCell ref="E22:G22"/>
    <mergeCell ref="A24:D26"/>
    <mergeCell ref="E24:H26"/>
    <mergeCell ref="E19:H19"/>
    <mergeCell ref="A2:H2"/>
    <mergeCell ref="A3:H3"/>
    <mergeCell ref="A7:H7"/>
    <mergeCell ref="A9:H9"/>
    <mergeCell ref="A12:H12"/>
    <mergeCell ref="A14:H14"/>
    <mergeCell ref="A15:D16"/>
    <mergeCell ref="E15:H16"/>
    <mergeCell ref="A17:D18"/>
    <mergeCell ref="E17:H18"/>
  </mergeCells>
  <pageMargins left="0.70866141732283472" right="0.31496062992125984" top="0.74803149606299213" bottom="0.7480314960629921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topLeftCell="A7" zoomScaleNormal="100" zoomScaleSheetLayoutView="100" workbookViewId="0">
      <selection activeCell="I12" sqref="I12"/>
    </sheetView>
  </sheetViews>
  <sheetFormatPr defaultRowHeight="15" x14ac:dyDescent="0.25"/>
  <cols>
    <col min="1" max="1" width="12.140625" style="247" customWidth="1"/>
    <col min="2" max="2" width="9.7109375" style="247" customWidth="1"/>
    <col min="3" max="3" width="14.28515625" style="247" customWidth="1"/>
    <col min="4" max="4" width="13.42578125" style="247" customWidth="1"/>
    <col min="5" max="5" width="7.42578125" style="247" customWidth="1"/>
    <col min="6" max="6" width="11.85546875" style="247" customWidth="1"/>
    <col min="7" max="7" width="12.140625" style="247" customWidth="1"/>
    <col min="8" max="8" width="18" style="247" customWidth="1"/>
    <col min="9" max="9" width="10.140625" customWidth="1"/>
    <col min="10" max="10" width="11.85546875" customWidth="1"/>
    <col min="11" max="256" width="9.140625" customWidth="1"/>
    <col min="257" max="263" width="12.140625" customWidth="1"/>
    <col min="264" max="264" width="8.140625" customWidth="1"/>
    <col min="265" max="512" width="9.140625" customWidth="1"/>
    <col min="513" max="519" width="12.140625" customWidth="1"/>
    <col min="520" max="520" width="8.140625" customWidth="1"/>
    <col min="521" max="768" width="9.140625" customWidth="1"/>
    <col min="769" max="775" width="12.140625" customWidth="1"/>
    <col min="776" max="776" width="8.140625" customWidth="1"/>
    <col min="777" max="1024" width="9.140625" customWidth="1"/>
    <col min="1025" max="1031" width="12.140625" customWidth="1"/>
    <col min="1032" max="1032" width="8.140625" customWidth="1"/>
    <col min="1033" max="1280" width="9.140625" customWidth="1"/>
    <col min="1281" max="1287" width="12.140625" customWidth="1"/>
    <col min="1288" max="1288" width="8.140625" customWidth="1"/>
    <col min="1289" max="1536" width="9.140625" customWidth="1"/>
    <col min="1537" max="1543" width="12.140625" customWidth="1"/>
    <col min="1544" max="1544" width="8.140625" customWidth="1"/>
    <col min="1545" max="1792" width="9.140625" customWidth="1"/>
    <col min="1793" max="1799" width="12.140625" customWidth="1"/>
    <col min="1800" max="1800" width="8.140625" customWidth="1"/>
    <col min="1801" max="2048" width="9.140625" customWidth="1"/>
    <col min="2049" max="2055" width="12.140625" customWidth="1"/>
    <col min="2056" max="2056" width="8.140625" customWidth="1"/>
    <col min="2057" max="2304" width="9.140625" customWidth="1"/>
    <col min="2305" max="2311" width="12.140625" customWidth="1"/>
    <col min="2312" max="2312" width="8.140625" customWidth="1"/>
    <col min="2313" max="2560" width="9.140625" customWidth="1"/>
    <col min="2561" max="2567" width="12.140625" customWidth="1"/>
    <col min="2568" max="2568" width="8.140625" customWidth="1"/>
    <col min="2569" max="2816" width="9.140625" customWidth="1"/>
    <col min="2817" max="2823" width="12.140625" customWidth="1"/>
    <col min="2824" max="2824" width="8.140625" customWidth="1"/>
    <col min="2825" max="3072" width="9.140625" customWidth="1"/>
    <col min="3073" max="3079" width="12.140625" customWidth="1"/>
    <col min="3080" max="3080" width="8.140625" customWidth="1"/>
    <col min="3081" max="3328" width="9.140625" customWidth="1"/>
    <col min="3329" max="3335" width="12.140625" customWidth="1"/>
    <col min="3336" max="3336" width="8.140625" customWidth="1"/>
    <col min="3337" max="3584" width="9.140625" customWidth="1"/>
    <col min="3585" max="3591" width="12.140625" customWidth="1"/>
    <col min="3592" max="3592" width="8.140625" customWidth="1"/>
    <col min="3593" max="3840" width="9.140625" customWidth="1"/>
    <col min="3841" max="3847" width="12.140625" customWidth="1"/>
    <col min="3848" max="3848" width="8.140625" customWidth="1"/>
    <col min="3849" max="4096" width="9.140625" customWidth="1"/>
    <col min="4097" max="4103" width="12.140625" customWidth="1"/>
    <col min="4104" max="4104" width="8.140625" customWidth="1"/>
    <col min="4105" max="4352" width="9.140625" customWidth="1"/>
    <col min="4353" max="4359" width="12.140625" customWidth="1"/>
    <col min="4360" max="4360" width="8.140625" customWidth="1"/>
    <col min="4361" max="4608" width="9.140625" customWidth="1"/>
    <col min="4609" max="4615" width="12.140625" customWidth="1"/>
    <col min="4616" max="4616" width="8.140625" customWidth="1"/>
    <col min="4617" max="4864" width="9.140625" customWidth="1"/>
    <col min="4865" max="4871" width="12.140625" customWidth="1"/>
    <col min="4872" max="4872" width="8.140625" customWidth="1"/>
    <col min="4873" max="5120" width="9.140625" customWidth="1"/>
    <col min="5121" max="5127" width="12.140625" customWidth="1"/>
    <col min="5128" max="5128" width="8.140625" customWidth="1"/>
    <col min="5129" max="5376" width="9.140625" customWidth="1"/>
    <col min="5377" max="5383" width="12.140625" customWidth="1"/>
    <col min="5384" max="5384" width="8.140625" customWidth="1"/>
    <col min="5385" max="5632" width="9.140625" customWidth="1"/>
    <col min="5633" max="5639" width="12.140625" customWidth="1"/>
    <col min="5640" max="5640" width="8.140625" customWidth="1"/>
    <col min="5641" max="5888" width="9.140625" customWidth="1"/>
    <col min="5889" max="5895" width="12.140625" customWidth="1"/>
    <col min="5896" max="5896" width="8.140625" customWidth="1"/>
    <col min="5897" max="6144" width="9.140625" customWidth="1"/>
    <col min="6145" max="6151" width="12.140625" customWidth="1"/>
    <col min="6152" max="6152" width="8.140625" customWidth="1"/>
    <col min="6153" max="6400" width="9.140625" customWidth="1"/>
    <col min="6401" max="6407" width="12.140625" customWidth="1"/>
    <col min="6408" max="6408" width="8.140625" customWidth="1"/>
    <col min="6409" max="6656" width="9.140625" customWidth="1"/>
    <col min="6657" max="6663" width="12.140625" customWidth="1"/>
    <col min="6664" max="6664" width="8.140625" customWidth="1"/>
    <col min="6665" max="6912" width="9.140625" customWidth="1"/>
    <col min="6913" max="6919" width="12.140625" customWidth="1"/>
    <col min="6920" max="6920" width="8.140625" customWidth="1"/>
    <col min="6921" max="7168" width="9.140625" customWidth="1"/>
    <col min="7169" max="7175" width="12.140625" customWidth="1"/>
    <col min="7176" max="7176" width="8.140625" customWidth="1"/>
    <col min="7177" max="7424" width="9.140625" customWidth="1"/>
    <col min="7425" max="7431" width="12.140625" customWidth="1"/>
    <col min="7432" max="7432" width="8.140625" customWidth="1"/>
    <col min="7433" max="7680" width="9.140625" customWidth="1"/>
    <col min="7681" max="7687" width="12.140625" customWidth="1"/>
    <col min="7688" max="7688" width="8.140625" customWidth="1"/>
    <col min="7689" max="7936" width="9.140625" customWidth="1"/>
    <col min="7937" max="7943" width="12.140625" customWidth="1"/>
    <col min="7944" max="7944" width="8.140625" customWidth="1"/>
    <col min="7945" max="8192" width="9.140625" customWidth="1"/>
    <col min="8193" max="8199" width="12.140625" customWidth="1"/>
    <col min="8200" max="8200" width="8.140625" customWidth="1"/>
    <col min="8201" max="8448" width="9.140625" customWidth="1"/>
    <col min="8449" max="8455" width="12.140625" customWidth="1"/>
    <col min="8456" max="8456" width="8.140625" customWidth="1"/>
    <col min="8457" max="8704" width="9.140625" customWidth="1"/>
    <col min="8705" max="8711" width="12.140625" customWidth="1"/>
    <col min="8712" max="8712" width="8.140625" customWidth="1"/>
    <col min="8713" max="8960" width="9.140625" customWidth="1"/>
    <col min="8961" max="8967" width="12.140625" customWidth="1"/>
    <col min="8968" max="8968" width="8.140625" customWidth="1"/>
    <col min="8969" max="9216" width="9.140625" customWidth="1"/>
    <col min="9217" max="9223" width="12.140625" customWidth="1"/>
    <col min="9224" max="9224" width="8.140625" customWidth="1"/>
    <col min="9225" max="9472" width="9.140625" customWidth="1"/>
    <col min="9473" max="9479" width="12.140625" customWidth="1"/>
    <col min="9480" max="9480" width="8.140625" customWidth="1"/>
    <col min="9481" max="9728" width="9.140625" customWidth="1"/>
    <col min="9729" max="9735" width="12.140625" customWidth="1"/>
    <col min="9736" max="9736" width="8.140625" customWidth="1"/>
    <col min="9737" max="9984" width="9.140625" customWidth="1"/>
    <col min="9985" max="9991" width="12.140625" customWidth="1"/>
    <col min="9992" max="9992" width="8.140625" customWidth="1"/>
    <col min="9993" max="10240" width="9.140625" customWidth="1"/>
    <col min="10241" max="10247" width="12.140625" customWidth="1"/>
    <col min="10248" max="10248" width="8.140625" customWidth="1"/>
    <col min="10249" max="10496" width="9.140625" customWidth="1"/>
    <col min="10497" max="10503" width="12.140625" customWidth="1"/>
    <col min="10504" max="10504" width="8.140625" customWidth="1"/>
    <col min="10505" max="10752" width="9.140625" customWidth="1"/>
    <col min="10753" max="10759" width="12.140625" customWidth="1"/>
    <col min="10760" max="10760" width="8.140625" customWidth="1"/>
    <col min="10761" max="11008" width="9.140625" customWidth="1"/>
    <col min="11009" max="11015" width="12.140625" customWidth="1"/>
    <col min="11016" max="11016" width="8.140625" customWidth="1"/>
    <col min="11017" max="11264" width="9.140625" customWidth="1"/>
    <col min="11265" max="11271" width="12.140625" customWidth="1"/>
    <col min="11272" max="11272" width="8.140625" customWidth="1"/>
    <col min="11273" max="11520" width="9.140625" customWidth="1"/>
    <col min="11521" max="11527" width="12.140625" customWidth="1"/>
    <col min="11528" max="11528" width="8.140625" customWidth="1"/>
    <col min="11529" max="11776" width="9.140625" customWidth="1"/>
    <col min="11777" max="11783" width="12.140625" customWidth="1"/>
    <col min="11784" max="11784" width="8.140625" customWidth="1"/>
    <col min="11785" max="12032" width="9.140625" customWidth="1"/>
    <col min="12033" max="12039" width="12.140625" customWidth="1"/>
    <col min="12040" max="12040" width="8.140625" customWidth="1"/>
    <col min="12041" max="12288" width="9.140625" customWidth="1"/>
    <col min="12289" max="12295" width="12.140625" customWidth="1"/>
    <col min="12296" max="12296" width="8.140625" customWidth="1"/>
    <col min="12297" max="12544" width="9.140625" customWidth="1"/>
    <col min="12545" max="12551" width="12.140625" customWidth="1"/>
    <col min="12552" max="12552" width="8.140625" customWidth="1"/>
    <col min="12553" max="12800" width="9.140625" customWidth="1"/>
    <col min="12801" max="12807" width="12.140625" customWidth="1"/>
    <col min="12808" max="12808" width="8.140625" customWidth="1"/>
    <col min="12809" max="13056" width="9.140625" customWidth="1"/>
    <col min="13057" max="13063" width="12.140625" customWidth="1"/>
    <col min="13064" max="13064" width="8.140625" customWidth="1"/>
    <col min="13065" max="13312" width="9.140625" customWidth="1"/>
    <col min="13313" max="13319" width="12.140625" customWidth="1"/>
    <col min="13320" max="13320" width="8.140625" customWidth="1"/>
    <col min="13321" max="13568" width="9.140625" customWidth="1"/>
    <col min="13569" max="13575" width="12.140625" customWidth="1"/>
    <col min="13576" max="13576" width="8.140625" customWidth="1"/>
    <col min="13577" max="13824" width="9.140625" customWidth="1"/>
    <col min="13825" max="13831" width="12.140625" customWidth="1"/>
    <col min="13832" max="13832" width="8.140625" customWidth="1"/>
    <col min="13833" max="14080" width="9.140625" customWidth="1"/>
    <col min="14081" max="14087" width="12.140625" customWidth="1"/>
    <col min="14088" max="14088" width="8.140625" customWidth="1"/>
    <col min="14089" max="14336" width="9.140625" customWidth="1"/>
    <col min="14337" max="14343" width="12.140625" customWidth="1"/>
    <col min="14344" max="14344" width="8.140625" customWidth="1"/>
    <col min="14345" max="14592" width="9.140625" customWidth="1"/>
    <col min="14593" max="14599" width="12.140625" customWidth="1"/>
    <col min="14600" max="14600" width="8.140625" customWidth="1"/>
    <col min="14601" max="14848" width="9.140625" customWidth="1"/>
    <col min="14849" max="14855" width="12.140625" customWidth="1"/>
    <col min="14856" max="14856" width="8.140625" customWidth="1"/>
    <col min="14857" max="15104" width="9.140625" customWidth="1"/>
    <col min="15105" max="15111" width="12.140625" customWidth="1"/>
    <col min="15112" max="15112" width="8.140625" customWidth="1"/>
    <col min="15113" max="15360" width="9.140625" customWidth="1"/>
    <col min="15361" max="15367" width="12.140625" customWidth="1"/>
    <col min="15368" max="15368" width="8.140625" customWidth="1"/>
    <col min="15369" max="15616" width="9.140625" customWidth="1"/>
    <col min="15617" max="15623" width="12.140625" customWidth="1"/>
    <col min="15624" max="15624" width="8.140625" customWidth="1"/>
    <col min="15625" max="15872" width="9.140625" customWidth="1"/>
    <col min="15873" max="15879" width="12.140625" customWidth="1"/>
    <col min="15880" max="15880" width="8.140625" customWidth="1"/>
    <col min="15881" max="16128" width="9.140625" customWidth="1"/>
    <col min="16129" max="16135" width="12.140625" customWidth="1"/>
    <col min="16136" max="16136" width="8.140625" customWidth="1"/>
    <col min="16137" max="16384" width="9.140625" customWidth="1"/>
  </cols>
  <sheetData>
    <row r="1" spans="1:10" x14ac:dyDescent="0.25">
      <c r="A1"/>
      <c r="B1"/>
      <c r="C1"/>
      <c r="D1"/>
      <c r="E1"/>
      <c r="F1"/>
      <c r="G1"/>
      <c r="H1"/>
    </row>
    <row r="2" spans="1:10" ht="16.5" x14ac:dyDescent="0.25">
      <c r="A2" s="628" t="s">
        <v>642</v>
      </c>
      <c r="B2" s="628"/>
      <c r="C2" s="628"/>
      <c r="D2" s="628"/>
      <c r="E2" s="628"/>
      <c r="F2" s="628"/>
      <c r="G2" s="628"/>
      <c r="H2" s="628"/>
    </row>
    <row r="3" spans="1:10" s="247" customFormat="1" ht="18" customHeight="1" x14ac:dyDescent="0.25">
      <c r="A3" s="629" t="s">
        <v>643</v>
      </c>
      <c r="B3" s="629"/>
      <c r="C3" s="629"/>
      <c r="D3" s="629"/>
      <c r="E3" s="629"/>
      <c r="F3" s="629"/>
      <c r="G3" s="629"/>
      <c r="H3" s="629"/>
    </row>
    <row r="4" spans="1:10" ht="16.5" x14ac:dyDescent="0.25">
      <c r="A4"/>
      <c r="B4"/>
      <c r="C4" s="248" t="s">
        <v>6</v>
      </c>
      <c r="D4" s="249" t="s">
        <v>644</v>
      </c>
      <c r="E4" s="249" t="s">
        <v>667</v>
      </c>
      <c r="F4"/>
      <c r="G4"/>
      <c r="H4"/>
    </row>
    <row r="5" spans="1:10" ht="15.75" customHeight="1" x14ac:dyDescent="0.25">
      <c r="A5" s="250" t="s">
        <v>645</v>
      </c>
      <c r="B5"/>
      <c r="C5"/>
      <c r="D5"/>
      <c r="E5"/>
      <c r="F5" s="251" t="s">
        <v>646</v>
      </c>
      <c r="G5" s="252" t="str">
        <f>'Титульный лист'!D32</f>
        <v>«  28  » мая 2021 г.</v>
      </c>
      <c r="H5" s="251"/>
    </row>
    <row r="6" spans="1:10" x14ac:dyDescent="0.25">
      <c r="A6"/>
      <c r="B6"/>
      <c r="C6"/>
      <c r="D6"/>
      <c r="E6"/>
      <c r="F6"/>
      <c r="G6"/>
      <c r="H6"/>
    </row>
    <row r="7" spans="1:10" s="247" customFormat="1" ht="127.5" customHeight="1" x14ac:dyDescent="0.25">
      <c r="A7" s="630" t="s">
        <v>723</v>
      </c>
      <c r="B7" s="630"/>
      <c r="C7" s="630"/>
      <c r="D7" s="630"/>
      <c r="E7" s="630"/>
      <c r="F7" s="630"/>
      <c r="G7" s="630"/>
      <c r="H7" s="630"/>
    </row>
    <row r="8" spans="1:10" s="247" customFormat="1" ht="15.75" customHeight="1" x14ac:dyDescent="0.25">
      <c r="A8" s="253" t="s">
        <v>647</v>
      </c>
      <c r="B8" s="254"/>
      <c r="C8" s="254"/>
      <c r="D8" s="254" t="str">
        <f>D4</f>
        <v>31.01.2020г.</v>
      </c>
      <c r="E8" s="254" t="str">
        <f>E4</f>
        <v>№67/1</v>
      </c>
      <c r="F8" s="253" t="s">
        <v>648</v>
      </c>
      <c r="G8" s="254"/>
      <c r="H8" s="254"/>
    </row>
    <row r="9" spans="1:10" ht="15.75" customHeight="1" x14ac:dyDescent="0.25">
      <c r="A9" s="630" t="s">
        <v>649</v>
      </c>
      <c r="B9" s="630"/>
      <c r="C9" s="630"/>
      <c r="D9" s="630"/>
      <c r="E9" s="630"/>
      <c r="F9" s="630"/>
      <c r="G9" s="630"/>
      <c r="H9" s="630"/>
      <c r="J9" s="117"/>
    </row>
    <row r="10" spans="1:10" ht="32.25" customHeight="1" x14ac:dyDescent="0.25">
      <c r="A10" s="630" t="s">
        <v>650</v>
      </c>
      <c r="B10" s="656"/>
      <c r="C10" s="656"/>
      <c r="D10" s="656"/>
      <c r="E10" s="656"/>
      <c r="F10" s="656"/>
      <c r="G10" s="656"/>
      <c r="H10" s="656"/>
      <c r="J10" s="117"/>
    </row>
    <row r="11" spans="1:10" ht="15.75" x14ac:dyDescent="0.25">
      <c r="A11" s="255" t="s">
        <v>651</v>
      </c>
      <c r="B11" s="256"/>
      <c r="C11" s="257"/>
      <c r="D11" s="258"/>
      <c r="F11" s="257">
        <f>'Утверждено (МЗ,ОП,ИЦ,КАП)'!I132</f>
        <v>26230.32</v>
      </c>
      <c r="G11" s="253" t="s">
        <v>652</v>
      </c>
      <c r="H11" s="254"/>
      <c r="I11" s="259">
        <f>A12+A14+A16</f>
        <v>0</v>
      </c>
      <c r="J11" s="117">
        <f>I11-F11</f>
        <v>-26230.32</v>
      </c>
    </row>
    <row r="12" spans="1:10" ht="15.75" x14ac:dyDescent="0.25">
      <c r="A12" s="258">
        <f>'Утверждено (МЗ,ОП,ИЦ,КАП)'!I134</f>
        <v>0</v>
      </c>
      <c r="B12" s="253" t="s">
        <v>668</v>
      </c>
      <c r="C12" s="253"/>
      <c r="D12" s="253"/>
      <c r="E12" s="253"/>
      <c r="F12" s="253"/>
      <c r="G12" s="253"/>
      <c r="H12" s="253"/>
      <c r="I12" s="134"/>
      <c r="J12" s="117"/>
    </row>
    <row r="13" spans="1:10" s="260" customFormat="1" ht="15.75" x14ac:dyDescent="0.25">
      <c r="A13" s="260" t="s">
        <v>678</v>
      </c>
    </row>
    <row r="14" spans="1:10" s="260" customFormat="1" ht="15.75" x14ac:dyDescent="0.25">
      <c r="A14" s="261">
        <f>'Утверждено (МЗ,ОП,ИЦ,КАП)'!I141</f>
        <v>0</v>
      </c>
      <c r="B14" s="260" t="s">
        <v>669</v>
      </c>
    </row>
    <row r="15" spans="1:10" s="260" customFormat="1" ht="15.75" x14ac:dyDescent="0.25">
      <c r="A15" s="260" t="s">
        <v>718</v>
      </c>
    </row>
    <row r="16" spans="1:10" s="260" customFormat="1" ht="15.75" x14ac:dyDescent="0.25">
      <c r="A16" s="290">
        <f>'Утверждено (МЗ,ОП,ИЦ,КАП)'!I142</f>
        <v>0</v>
      </c>
      <c r="B16" s="260" t="s">
        <v>722</v>
      </c>
    </row>
    <row r="17" spans="1:8" s="260" customFormat="1" ht="15.75" x14ac:dyDescent="0.25">
      <c r="A17" s="260" t="s">
        <v>719</v>
      </c>
    </row>
    <row r="18" spans="1:8" s="260" customFormat="1" ht="15.75" x14ac:dyDescent="0.25">
      <c r="A18" s="260" t="s">
        <v>720</v>
      </c>
    </row>
    <row r="19" spans="1:8" s="260" customFormat="1" ht="15.75" x14ac:dyDescent="0.25"/>
    <row r="20" spans="1:8" ht="15.75" customHeight="1" x14ac:dyDescent="0.25">
      <c r="A20" s="632" t="s">
        <v>653</v>
      </c>
      <c r="B20" s="632"/>
      <c r="C20" s="632"/>
      <c r="D20" s="632"/>
      <c r="E20" s="632"/>
      <c r="F20" s="632"/>
      <c r="G20" s="632"/>
      <c r="H20" s="632"/>
    </row>
    <row r="21" spans="1:8" ht="15.75" customHeight="1" x14ac:dyDescent="0.25">
      <c r="A21" s="262" t="s">
        <v>654</v>
      </c>
      <c r="B21"/>
      <c r="C21"/>
      <c r="D21"/>
      <c r="E21" s="262" t="s">
        <v>655</v>
      </c>
      <c r="F21"/>
      <c r="G21"/>
      <c r="H21"/>
    </row>
    <row r="22" spans="1:8" ht="82.5" customHeight="1" x14ac:dyDescent="0.25">
      <c r="A22" s="630" t="s">
        <v>670</v>
      </c>
      <c r="B22" s="630"/>
      <c r="C22" s="630"/>
      <c r="D22" s="630"/>
      <c r="E22" s="630" t="s">
        <v>656</v>
      </c>
      <c r="F22" s="630"/>
      <c r="G22" s="630"/>
      <c r="H22" s="630"/>
    </row>
    <row r="23" spans="1:8" s="247" customFormat="1" ht="35.25" customHeight="1" x14ac:dyDescent="0.25">
      <c r="A23" s="630" t="s">
        <v>671</v>
      </c>
      <c r="B23" s="630"/>
      <c r="C23" s="630"/>
      <c r="D23" s="630"/>
      <c r="E23" s="630" t="s">
        <v>657</v>
      </c>
      <c r="F23" s="630"/>
      <c r="G23" s="630"/>
      <c r="H23" s="630"/>
    </row>
    <row r="24" spans="1:8" s="247" customFormat="1" ht="33.75" customHeight="1" x14ac:dyDescent="0.25">
      <c r="A24" s="630" t="s">
        <v>672</v>
      </c>
      <c r="B24" s="630"/>
      <c r="C24" s="630"/>
      <c r="D24" s="630"/>
      <c r="E24" s="630" t="s">
        <v>658</v>
      </c>
      <c r="F24" s="630"/>
      <c r="G24" s="630"/>
      <c r="H24" s="630"/>
    </row>
    <row r="25" spans="1:8" ht="15.75" customHeight="1" x14ac:dyDescent="0.25">
      <c r="A25" s="653" t="s">
        <v>673</v>
      </c>
      <c r="B25" s="653"/>
      <c r="C25" s="653"/>
      <c r="D25" s="653"/>
      <c r="E25" s="654" t="s">
        <v>659</v>
      </c>
      <c r="F25" s="654"/>
      <c r="G25" s="654"/>
      <c r="H25" s="654"/>
    </row>
    <row r="26" spans="1:8" ht="15.75" x14ac:dyDescent="0.25">
      <c r="A26" s="654" t="s">
        <v>660</v>
      </c>
      <c r="B26" s="654"/>
      <c r="C26" s="654"/>
      <c r="D26" s="654"/>
      <c r="E26" s="654" t="s">
        <v>661</v>
      </c>
      <c r="F26" s="654"/>
      <c r="G26" s="654"/>
      <c r="H26" s="654"/>
    </row>
    <row r="27" spans="1:8" ht="15.75" customHeight="1" x14ac:dyDescent="0.25">
      <c r="A27" s="653" t="s">
        <v>662</v>
      </c>
      <c r="B27" s="653"/>
      <c r="C27" s="653"/>
      <c r="D27" s="653"/>
      <c r="E27" s="263"/>
      <c r="F27" s="263"/>
      <c r="G27" s="263"/>
      <c r="H27" s="263"/>
    </row>
    <row r="28" spans="1:8" ht="15.75" customHeight="1" x14ac:dyDescent="0.25">
      <c r="A28" s="654" t="s">
        <v>663</v>
      </c>
      <c r="B28" s="654"/>
      <c r="C28" s="654"/>
      <c r="D28" s="654"/>
      <c r="E28"/>
      <c r="F28"/>
      <c r="G28"/>
      <c r="H28"/>
    </row>
    <row r="29" spans="1:8" ht="15.75" customHeight="1" x14ac:dyDescent="0.25">
      <c r="A29" s="653" t="s">
        <v>674</v>
      </c>
      <c r="B29" s="653"/>
      <c r="C29" s="653"/>
      <c r="D29" s="653"/>
      <c r="E29"/>
      <c r="F29"/>
      <c r="G29"/>
      <c r="H29"/>
    </row>
    <row r="30" spans="1:8" ht="15.75" customHeight="1" x14ac:dyDescent="0.25">
      <c r="A30" s="654" t="s">
        <v>675</v>
      </c>
      <c r="B30" s="654"/>
      <c r="C30" s="654"/>
      <c r="D30" s="654"/>
      <c r="E30"/>
      <c r="F30"/>
      <c r="G30"/>
      <c r="H30"/>
    </row>
    <row r="31" spans="1:8" x14ac:dyDescent="0.25">
      <c r="A31"/>
      <c r="B31"/>
      <c r="C31"/>
      <c r="D31"/>
      <c r="E31"/>
      <c r="F31"/>
      <c r="G31"/>
      <c r="H31"/>
    </row>
    <row r="32" spans="1:8" ht="33" customHeight="1" x14ac:dyDescent="0.25">
      <c r="A32" s="653" t="s">
        <v>676</v>
      </c>
      <c r="B32" s="653"/>
      <c r="C32" s="653"/>
      <c r="D32" s="653"/>
      <c r="E32" s="655" t="s">
        <v>664</v>
      </c>
      <c r="F32" s="655"/>
      <c r="G32" s="655"/>
      <c r="H32" s="655"/>
    </row>
    <row r="33" spans="1:8" ht="15.75" x14ac:dyDescent="0.25">
      <c r="A33" s="264"/>
      <c r="B33" s="264"/>
      <c r="C33" s="654" t="s">
        <v>677</v>
      </c>
      <c r="D33" s="654"/>
      <c r="E33" s="264"/>
      <c r="F33" s="264"/>
      <c r="G33" s="654" t="s">
        <v>665</v>
      </c>
      <c r="H33" s="654"/>
    </row>
    <row r="34" spans="1:8" x14ac:dyDescent="0.25">
      <c r="A34"/>
      <c r="B34"/>
      <c r="C34"/>
      <c r="D34"/>
      <c r="E34"/>
      <c r="F34"/>
      <c r="G34"/>
      <c r="H34"/>
    </row>
    <row r="35" spans="1:8" ht="15.75" x14ac:dyDescent="0.25">
      <c r="A35"/>
      <c r="B35" s="263" t="s">
        <v>666</v>
      </c>
      <c r="C35"/>
      <c r="D35"/>
      <c r="E35"/>
      <c r="F35" s="263" t="s">
        <v>666</v>
      </c>
      <c r="G35"/>
      <c r="H35"/>
    </row>
  </sheetData>
  <mergeCells count="24">
    <mergeCell ref="A20:H20"/>
    <mergeCell ref="A2:H2"/>
    <mergeCell ref="A3:H3"/>
    <mergeCell ref="A7:H7"/>
    <mergeCell ref="A9:H9"/>
    <mergeCell ref="A10:H10"/>
    <mergeCell ref="A28:D28"/>
    <mergeCell ref="A22:D22"/>
    <mergeCell ref="E22:H22"/>
    <mergeCell ref="A23:D23"/>
    <mergeCell ref="E23:H23"/>
    <mergeCell ref="A24:D24"/>
    <mergeCell ref="E24:H24"/>
    <mergeCell ref="A25:D25"/>
    <mergeCell ref="E25:H25"/>
    <mergeCell ref="A26:D26"/>
    <mergeCell ref="E26:H26"/>
    <mergeCell ref="A27:D27"/>
    <mergeCell ref="A29:D29"/>
    <mergeCell ref="A30:D30"/>
    <mergeCell ref="A32:D32"/>
    <mergeCell ref="E32:H32"/>
    <mergeCell ref="C33:D33"/>
    <mergeCell ref="G33:H33"/>
  </mergeCells>
  <pageMargins left="0.7" right="0.7" top="0.75" bottom="0.75" header="0.3" footer="0.3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view="pageBreakPreview" zoomScale="90" zoomScaleNormal="100" zoomScaleSheetLayoutView="90" workbookViewId="0">
      <selection activeCell="G22" sqref="G22"/>
    </sheetView>
  </sheetViews>
  <sheetFormatPr defaultRowHeight="15" x14ac:dyDescent="0.25"/>
  <cols>
    <col min="1" max="1" width="6.7109375" style="1" customWidth="1"/>
    <col min="2" max="2" width="45.85546875" style="2" customWidth="1"/>
    <col min="3" max="3" width="9.140625" style="1"/>
    <col min="4" max="4" width="13.28515625" style="1" customWidth="1"/>
    <col min="5" max="5" width="10.85546875" style="1" customWidth="1"/>
    <col min="6" max="6" width="15.85546875" style="1" customWidth="1"/>
    <col min="7" max="8" width="14.7109375" style="1" customWidth="1"/>
    <col min="9" max="9" width="11" style="1" customWidth="1"/>
    <col min="10" max="10" width="8" customWidth="1"/>
    <col min="11" max="11" width="7.140625" style="239" bestFit="1" customWidth="1"/>
    <col min="12" max="12" width="18.42578125" style="239" customWidth="1"/>
    <col min="13" max="13" width="102.42578125" style="214" customWidth="1"/>
  </cols>
  <sheetData>
    <row r="1" spans="1:13" x14ac:dyDescent="0.25">
      <c r="K1" s="23" t="s">
        <v>161</v>
      </c>
      <c r="L1" s="23" t="s">
        <v>162</v>
      </c>
      <c r="M1" s="214" t="s">
        <v>163</v>
      </c>
    </row>
    <row r="4" spans="1:13" x14ac:dyDescent="0.25">
      <c r="G4" s="355" t="s">
        <v>0</v>
      </c>
      <c r="H4" s="355"/>
      <c r="I4" s="355"/>
    </row>
    <row r="5" spans="1:13" ht="30" customHeight="1" x14ac:dyDescent="0.25">
      <c r="G5" s="356" t="s">
        <v>164</v>
      </c>
      <c r="H5" s="356"/>
      <c r="I5" s="356"/>
    </row>
    <row r="6" spans="1:13" ht="55.5" customHeight="1" x14ac:dyDescent="0.25">
      <c r="G6" s="357" t="s">
        <v>1</v>
      </c>
      <c r="H6" s="357"/>
      <c r="I6" s="357"/>
    </row>
    <row r="7" spans="1:13" x14ac:dyDescent="0.25">
      <c r="G7" s="241"/>
      <c r="H7" s="241"/>
      <c r="I7" s="241"/>
    </row>
    <row r="8" spans="1:13" x14ac:dyDescent="0.25">
      <c r="G8" s="358" t="s">
        <v>487</v>
      </c>
      <c r="H8" s="358"/>
      <c r="I8" s="358"/>
    </row>
    <row r="9" spans="1:13" x14ac:dyDescent="0.25">
      <c r="G9" s="359" t="s">
        <v>627</v>
      </c>
      <c r="H9" s="359"/>
      <c r="I9" s="359"/>
    </row>
    <row r="10" spans="1:13" x14ac:dyDescent="0.25">
      <c r="G10" s="242"/>
      <c r="H10" s="242"/>
      <c r="I10" s="242"/>
    </row>
    <row r="11" spans="1:13" x14ac:dyDescent="0.25">
      <c r="G11" s="360" t="str">
        <f>G20</f>
        <v>«      »  июня  2020 г.</v>
      </c>
      <c r="H11" s="360"/>
      <c r="I11" s="361"/>
    </row>
    <row r="12" spans="1:13" x14ac:dyDescent="0.25">
      <c r="G12" s="240"/>
      <c r="H12" s="240"/>
      <c r="I12" s="3"/>
    </row>
    <row r="13" spans="1:13" x14ac:dyDescent="0.25">
      <c r="B13" s="3"/>
      <c r="C13" s="3"/>
      <c r="G13" s="355" t="s">
        <v>3</v>
      </c>
      <c r="H13" s="355"/>
      <c r="I13" s="355"/>
    </row>
    <row r="14" spans="1:13" x14ac:dyDescent="0.25">
      <c r="A14" s="4"/>
      <c r="B14" s="3"/>
      <c r="C14" s="5"/>
      <c r="G14" s="358" t="s">
        <v>640</v>
      </c>
      <c r="H14" s="358"/>
      <c r="I14" s="358"/>
    </row>
    <row r="15" spans="1:13" ht="32.25" customHeight="1" x14ac:dyDescent="0.25">
      <c r="A15" s="4"/>
      <c r="B15" s="3"/>
      <c r="C15" s="6"/>
      <c r="G15" s="362" t="s">
        <v>4</v>
      </c>
      <c r="H15" s="362"/>
      <c r="I15" s="362"/>
      <c r="J15" s="7"/>
      <c r="K15" s="25"/>
      <c r="L15" s="25"/>
    </row>
    <row r="16" spans="1:13" x14ac:dyDescent="0.25">
      <c r="A16" s="4"/>
      <c r="B16" s="3"/>
      <c r="C16" s="6"/>
      <c r="G16" s="241"/>
      <c r="H16" s="241"/>
      <c r="I16" s="241"/>
      <c r="J16" s="7"/>
      <c r="K16" s="25"/>
      <c r="L16" s="25"/>
    </row>
    <row r="17" spans="1:13" x14ac:dyDescent="0.25">
      <c r="A17" s="4"/>
      <c r="B17" s="3"/>
      <c r="G17" s="358" t="s">
        <v>641</v>
      </c>
      <c r="H17" s="358"/>
      <c r="I17" s="358"/>
    </row>
    <row r="18" spans="1:13" x14ac:dyDescent="0.25">
      <c r="B18" s="3"/>
      <c r="C18" s="9"/>
      <c r="G18" s="363" t="s">
        <v>627</v>
      </c>
      <c r="H18" s="363"/>
      <c r="I18" s="363"/>
    </row>
    <row r="19" spans="1:13" ht="30" x14ac:dyDescent="0.25">
      <c r="B19" s="3"/>
      <c r="C19" s="9"/>
      <c r="G19" s="242"/>
      <c r="H19" s="242"/>
      <c r="I19" s="242"/>
      <c r="M19" s="214" t="s">
        <v>165</v>
      </c>
    </row>
    <row r="20" spans="1:13" x14ac:dyDescent="0.25">
      <c r="B20" s="3"/>
      <c r="G20" s="360" t="s">
        <v>638</v>
      </c>
      <c r="H20" s="360"/>
      <c r="I20" s="361"/>
      <c r="M20" s="214" t="s">
        <v>166</v>
      </c>
    </row>
    <row r="21" spans="1:13" x14ac:dyDescent="0.25">
      <c r="G21" s="3"/>
      <c r="H21" s="3"/>
      <c r="I21" s="3"/>
    </row>
    <row r="22" spans="1:13" x14ac:dyDescent="0.25">
      <c r="G22" s="240"/>
      <c r="H22" s="240"/>
      <c r="I22" s="240"/>
    </row>
    <row r="23" spans="1:13" x14ac:dyDescent="0.25">
      <c r="G23" s="240"/>
      <c r="H23" s="240"/>
      <c r="I23" s="240"/>
    </row>
    <row r="24" spans="1:13" ht="15.75" customHeight="1" x14ac:dyDescent="0.25">
      <c r="C24" s="10"/>
      <c r="D24" s="10"/>
      <c r="E24" s="10"/>
      <c r="F24" s="10"/>
      <c r="G24" s="10"/>
      <c r="H24" s="10"/>
      <c r="I24" s="10"/>
    </row>
    <row r="25" spans="1:13" ht="15.75" customHeight="1" x14ac:dyDescent="0.25">
      <c r="C25" s="10"/>
      <c r="D25" s="10"/>
      <c r="E25" s="10"/>
      <c r="F25" s="10"/>
      <c r="G25" s="10"/>
      <c r="H25" s="10"/>
      <c r="I25" s="10"/>
    </row>
    <row r="26" spans="1:13" ht="15.75" x14ac:dyDescent="0.25">
      <c r="B26" s="350" t="s">
        <v>626</v>
      </c>
      <c r="C26" s="350"/>
      <c r="D26" s="350"/>
      <c r="E26" s="350"/>
      <c r="F26" s="350"/>
      <c r="G26" s="350"/>
      <c r="H26" s="350"/>
      <c r="I26" s="350"/>
    </row>
    <row r="27" spans="1:13" ht="15.75" x14ac:dyDescent="0.25">
      <c r="B27" s="350" t="s">
        <v>167</v>
      </c>
      <c r="C27" s="350"/>
      <c r="D27" s="350"/>
      <c r="E27" s="350"/>
      <c r="F27" s="350"/>
      <c r="G27" s="350"/>
      <c r="H27" s="350"/>
      <c r="I27" s="350"/>
      <c r="J27" s="11"/>
    </row>
    <row r="31" spans="1:13" x14ac:dyDescent="0.25">
      <c r="I31" s="245" t="s">
        <v>5</v>
      </c>
    </row>
    <row r="32" spans="1:13" x14ac:dyDescent="0.25">
      <c r="C32" s="12" t="s">
        <v>6</v>
      </c>
      <c r="D32" s="355" t="str">
        <f>G20</f>
        <v>«      »  июня  2020 г.</v>
      </c>
      <c r="E32" s="355"/>
      <c r="H32" s="351" t="s">
        <v>7</v>
      </c>
      <c r="I32" s="352" t="s">
        <v>639</v>
      </c>
      <c r="J32" s="239" t="s">
        <v>6</v>
      </c>
      <c r="K32" s="244" t="s">
        <v>2</v>
      </c>
      <c r="M32" s="214" t="s">
        <v>168</v>
      </c>
    </row>
    <row r="33" spans="2:13" customFormat="1" x14ac:dyDescent="0.25">
      <c r="B33" s="2"/>
      <c r="C33" s="1"/>
      <c r="D33" s="1"/>
      <c r="E33" s="1"/>
      <c r="F33" s="1"/>
      <c r="G33" s="1"/>
      <c r="H33" s="351"/>
      <c r="I33" s="344"/>
      <c r="K33" s="239" t="s">
        <v>5</v>
      </c>
      <c r="L33" s="239"/>
      <c r="M33" s="214" t="s">
        <v>168</v>
      </c>
    </row>
    <row r="34" spans="2:13" customFormat="1" x14ac:dyDescent="0.25">
      <c r="B34" s="2"/>
      <c r="C34" s="1"/>
      <c r="D34" s="1"/>
      <c r="E34" s="1"/>
      <c r="F34" s="1"/>
      <c r="G34" s="346" t="s">
        <v>8</v>
      </c>
      <c r="H34" s="341"/>
      <c r="I34" s="342">
        <v>32305650</v>
      </c>
      <c r="K34" s="239"/>
      <c r="L34" s="239"/>
      <c r="M34" s="214"/>
    </row>
    <row r="35" spans="2:13" customFormat="1" x14ac:dyDescent="0.25">
      <c r="B35" s="2" t="s">
        <v>9</v>
      </c>
      <c r="C35" s="353" t="s">
        <v>169</v>
      </c>
      <c r="D35" s="353"/>
      <c r="E35" s="353"/>
      <c r="F35" s="353"/>
      <c r="G35" s="346"/>
      <c r="H35" s="341"/>
      <c r="I35" s="344"/>
      <c r="J35" s="27"/>
      <c r="K35" s="244" t="s">
        <v>488</v>
      </c>
      <c r="L35" s="239"/>
      <c r="M35" s="214"/>
    </row>
    <row r="36" spans="2:13" customFormat="1" x14ac:dyDescent="0.25">
      <c r="B36" s="2" t="s">
        <v>10</v>
      </c>
      <c r="C36" s="345" t="s">
        <v>170</v>
      </c>
      <c r="D36" s="345"/>
      <c r="E36" s="345"/>
      <c r="F36" s="345"/>
      <c r="G36" s="1"/>
      <c r="H36" s="341" t="s">
        <v>11</v>
      </c>
      <c r="I36" s="342">
        <v>911</v>
      </c>
      <c r="K36" s="239"/>
      <c r="L36" s="239"/>
      <c r="M36" s="214"/>
    </row>
    <row r="37" spans="2:13" customFormat="1" x14ac:dyDescent="0.25">
      <c r="B37" s="2"/>
      <c r="C37" s="4"/>
      <c r="D37" s="4"/>
      <c r="E37" s="4"/>
      <c r="F37" s="4"/>
      <c r="G37" s="1"/>
      <c r="H37" s="341"/>
      <c r="I37" s="344"/>
      <c r="K37" s="239"/>
      <c r="L37" s="239"/>
      <c r="M37" s="214"/>
    </row>
    <row r="38" spans="2:13" customFormat="1" x14ac:dyDescent="0.25">
      <c r="B38" s="2"/>
      <c r="C38" s="4"/>
      <c r="D38" s="4"/>
      <c r="E38" s="4"/>
      <c r="F38" s="4"/>
      <c r="G38" s="346" t="s">
        <v>8</v>
      </c>
      <c r="H38" s="341"/>
      <c r="I38" s="342" t="s">
        <v>615</v>
      </c>
      <c r="K38" s="239"/>
      <c r="L38" s="239"/>
      <c r="M38" s="214"/>
    </row>
    <row r="39" spans="2:13" customFormat="1" x14ac:dyDescent="0.25">
      <c r="B39" s="2"/>
      <c r="C39" s="4"/>
      <c r="D39" s="4"/>
      <c r="E39" s="4"/>
      <c r="F39" s="4"/>
      <c r="G39" s="346"/>
      <c r="H39" s="341"/>
      <c r="I39" s="344"/>
      <c r="J39" s="27"/>
      <c r="K39" s="244" t="s">
        <v>171</v>
      </c>
      <c r="L39" s="239"/>
      <c r="M39" s="214"/>
    </row>
    <row r="40" spans="2:13" customFormat="1" x14ac:dyDescent="0.25">
      <c r="B40" s="2"/>
      <c r="C40" s="4"/>
      <c r="D40" s="4"/>
      <c r="E40" s="4"/>
      <c r="F40" s="4"/>
      <c r="G40" s="1"/>
      <c r="H40" s="341" t="s">
        <v>12</v>
      </c>
      <c r="I40" s="342">
        <v>4207058290</v>
      </c>
      <c r="K40" s="239"/>
      <c r="L40" s="239"/>
      <c r="M40" s="214"/>
    </row>
    <row r="41" spans="2:13" customFormat="1" x14ac:dyDescent="0.25">
      <c r="B41" s="2"/>
      <c r="C41" s="4"/>
      <c r="D41" s="4"/>
      <c r="E41" s="4"/>
      <c r="F41" s="4"/>
      <c r="G41" s="1"/>
      <c r="H41" s="341"/>
      <c r="I41" s="344"/>
      <c r="K41" s="244" t="s">
        <v>171</v>
      </c>
      <c r="L41" s="239"/>
      <c r="M41" s="214"/>
    </row>
    <row r="42" spans="2:13" customFormat="1" x14ac:dyDescent="0.25">
      <c r="B42" s="2"/>
      <c r="C42" s="1"/>
      <c r="D42" s="1"/>
      <c r="E42" s="1"/>
      <c r="F42" s="1"/>
      <c r="G42" s="1"/>
      <c r="H42" s="341" t="s">
        <v>13</v>
      </c>
      <c r="I42" s="342">
        <v>420501001</v>
      </c>
      <c r="K42" s="239"/>
      <c r="L42" s="239"/>
      <c r="M42" s="214"/>
    </row>
    <row r="43" spans="2:13" customFormat="1" x14ac:dyDescent="0.25">
      <c r="B43" s="2" t="s">
        <v>14</v>
      </c>
      <c r="C43" s="347" t="s">
        <v>616</v>
      </c>
      <c r="D43" s="348"/>
      <c r="E43" s="348"/>
      <c r="F43" s="348"/>
      <c r="G43" s="1"/>
      <c r="H43" s="341"/>
      <c r="I43" s="343"/>
      <c r="K43" s="239"/>
      <c r="L43" s="239"/>
      <c r="M43" s="214"/>
    </row>
    <row r="44" spans="2:13" customFormat="1" ht="34.5" customHeight="1" x14ac:dyDescent="0.25">
      <c r="B44" s="148"/>
      <c r="C44" s="349"/>
      <c r="D44" s="349"/>
      <c r="E44" s="349"/>
      <c r="F44" s="349"/>
      <c r="G44" s="1"/>
      <c r="H44" s="341"/>
      <c r="I44" s="344"/>
      <c r="K44" s="244" t="s">
        <v>489</v>
      </c>
      <c r="L44" s="239"/>
      <c r="M44" s="214"/>
    </row>
    <row r="45" spans="2:13" customFormat="1" x14ac:dyDescent="0.25">
      <c r="B45" s="213"/>
      <c r="C45" s="4"/>
      <c r="D45" s="4"/>
      <c r="E45" s="4"/>
      <c r="F45" s="4"/>
      <c r="G45" s="1"/>
      <c r="H45" s="341" t="s">
        <v>15</v>
      </c>
      <c r="I45" s="342">
        <v>383</v>
      </c>
      <c r="K45" s="239"/>
      <c r="L45" s="239"/>
      <c r="M45" s="214"/>
    </row>
    <row r="46" spans="2:13" customFormat="1" x14ac:dyDescent="0.25">
      <c r="B46" s="2" t="s">
        <v>16</v>
      </c>
      <c r="C46" s="1"/>
      <c r="D46" s="1"/>
      <c r="E46" s="1"/>
      <c r="F46" s="1"/>
      <c r="G46" s="1"/>
      <c r="H46" s="341"/>
      <c r="I46" s="344"/>
      <c r="K46" s="239"/>
      <c r="L46" s="239"/>
      <c r="M46" s="214"/>
    </row>
    <row r="47" spans="2:13" customFormat="1" x14ac:dyDescent="0.25">
      <c r="B47" s="2"/>
      <c r="C47" s="1"/>
      <c r="D47" s="1"/>
      <c r="E47" s="1"/>
      <c r="F47" s="1"/>
      <c r="G47" s="1"/>
      <c r="H47" s="243"/>
      <c r="I47" s="243"/>
      <c r="K47" s="239"/>
      <c r="L47" s="239"/>
      <c r="M47" s="214"/>
    </row>
    <row r="48" spans="2:13" customFormat="1" x14ac:dyDescent="0.25">
      <c r="B48" s="2"/>
      <c r="C48" s="1"/>
      <c r="D48" s="1"/>
      <c r="E48" s="1"/>
      <c r="F48" s="1"/>
      <c r="G48" s="1"/>
      <c r="H48" s="243"/>
      <c r="I48" s="243"/>
      <c r="K48" s="239"/>
      <c r="L48" s="239"/>
      <c r="M48" s="214"/>
    </row>
    <row r="49" spans="8:9" customFormat="1" x14ac:dyDescent="0.25">
      <c r="H49" s="243"/>
      <c r="I49" s="243"/>
    </row>
    <row r="50" spans="8:9" customFormat="1" x14ac:dyDescent="0.25">
      <c r="H50" s="243"/>
      <c r="I50" s="243"/>
    </row>
    <row r="51" spans="8:9" customFormat="1" x14ac:dyDescent="0.25">
      <c r="H51" s="243"/>
      <c r="I51" s="243"/>
    </row>
  </sheetData>
  <mergeCells count="32">
    <mergeCell ref="H42:H44"/>
    <mergeCell ref="I42:I44"/>
    <mergeCell ref="C43:F44"/>
    <mergeCell ref="H45:H46"/>
    <mergeCell ref="I45:I46"/>
    <mergeCell ref="H40:H41"/>
    <mergeCell ref="I40:I41"/>
    <mergeCell ref="B26:I26"/>
    <mergeCell ref="B27:I27"/>
    <mergeCell ref="D32:E32"/>
    <mergeCell ref="H32:H33"/>
    <mergeCell ref="I32:I33"/>
    <mergeCell ref="G34:H35"/>
    <mergeCell ref="I34:I35"/>
    <mergeCell ref="C35:F35"/>
    <mergeCell ref="C36:F36"/>
    <mergeCell ref="H36:H37"/>
    <mergeCell ref="I36:I37"/>
    <mergeCell ref="G38:H39"/>
    <mergeCell ref="I38:I39"/>
    <mergeCell ref="G20:I20"/>
    <mergeCell ref="G4:I4"/>
    <mergeCell ref="G5:I5"/>
    <mergeCell ref="G6:I6"/>
    <mergeCell ref="G8:I8"/>
    <mergeCell ref="G9:I9"/>
    <mergeCell ref="G11:I11"/>
    <mergeCell ref="G13:I13"/>
    <mergeCell ref="G14:I14"/>
    <mergeCell ref="G15:I15"/>
    <mergeCell ref="G17:I17"/>
    <mergeCell ref="G18:I18"/>
  </mergeCells>
  <pageMargins left="0.11811023622047245" right="0.11811023622047245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10</vt:i4>
      </vt:variant>
    </vt:vector>
  </HeadingPairs>
  <TitlesOfParts>
    <vt:vector size="19" baseType="lpstr">
      <vt:lpstr>Титульный лист</vt:lpstr>
      <vt:lpstr>Форма</vt:lpstr>
      <vt:lpstr>Утверждено (МЗ,ОП,ИЦ,КАП)</vt:lpstr>
      <vt:lpstr>Утверждено (ПДД)</vt:lpstr>
      <vt:lpstr>Закупки</vt:lpstr>
      <vt:lpstr>информ.</vt:lpstr>
      <vt:lpstr>допсоглашение 4</vt:lpstr>
      <vt:lpstr>доп.соглашение 5</vt:lpstr>
      <vt:lpstr>тит.лист без даты</vt:lpstr>
      <vt:lpstr>'Утверждено (МЗ,ОП,ИЦ,КАП)'!Заголовки_для_печати</vt:lpstr>
      <vt:lpstr>'Утверждено (ПДД)'!Заголовки_для_печати</vt:lpstr>
      <vt:lpstr>'доп.соглашение 5'!Область_печати</vt:lpstr>
      <vt:lpstr>'допсоглашение 4'!Область_печати</vt:lpstr>
      <vt:lpstr>Закупки!Область_печати</vt:lpstr>
      <vt:lpstr>'тит.лист без даты'!Область_печати</vt:lpstr>
      <vt:lpstr>'Титульный лист'!Область_печати</vt:lpstr>
      <vt:lpstr>'Утверждено (МЗ,ОП,ИЦ,КАП)'!Область_печати</vt:lpstr>
      <vt:lpstr>'Утверждено (ПДД)'!Область_печати</vt:lpstr>
      <vt:lpstr>Форма!Область_печати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Владимировна Жилина</dc:creator>
  <cp:lastModifiedBy>Надежда Владимировна Петрова</cp:lastModifiedBy>
  <cp:lastPrinted>2021-06-04T02:28:39Z</cp:lastPrinted>
  <dcterms:created xsi:type="dcterms:W3CDTF">2019-12-31T06:20:24Z</dcterms:created>
  <dcterms:modified xsi:type="dcterms:W3CDTF">2021-06-16T08:26:47Z</dcterms:modified>
</cp:coreProperties>
</file>